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grams\HDAP\2022\BGF\Posting\"/>
    </mc:Choice>
  </mc:AlternateContent>
  <bookViews>
    <workbookView xWindow="0" yWindow="0" windowWidth="15360" windowHeight="4992"/>
  </bookViews>
  <sheets>
    <sheet name="New Aff" sheetId="1" r:id="rId1"/>
    <sheet name="Preserved Aff" sheetId="2" r:id="rId2"/>
    <sheet name="HOME-ARP" sheetId="3" r:id="rId3"/>
    <sheet name="Data" sheetId="7" state="hidden" r:id="rId4"/>
  </sheets>
  <definedNames>
    <definedName name="_xlnm._FilterDatabase" localSheetId="0" hidden="1">'New Aff'!$B$15:$M$40</definedName>
    <definedName name="_xlnm._FilterDatabase" localSheetId="1" hidden="1">'Preserved Aff'!$B$15:$L$30</definedName>
    <definedName name="_xlnm.Print_Area" localSheetId="2">'HOME-ARP'!$B$1:$R$27</definedName>
    <definedName name="_xlnm.Print_Area" localSheetId="0">'New Aff'!$B$1:$AB$42</definedName>
    <definedName name="_xlnm.Print_Area" localSheetId="1">'Preserved Aff'!$B$1:$AB$32</definedName>
    <definedName name="_xlnm.Print_Titles" localSheetId="2">'HOME-ARP'!$B:$C</definedName>
    <definedName name="_xlnm.Print_Titles" localSheetId="0">'New Aff'!$B:$C,'New Aff'!$15:$15</definedName>
    <definedName name="_xlnm.Print_Titles" localSheetId="1">'Preserved Aff'!$B:$C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3" l="1"/>
  <c r="AA32" i="2"/>
  <c r="AA42" i="1"/>
  <c r="R16" i="3" l="1"/>
  <c r="R17" i="3"/>
  <c r="R18" i="3"/>
  <c r="R19" i="3"/>
  <c r="R20" i="3"/>
  <c r="R21" i="3"/>
  <c r="R22" i="3"/>
  <c r="R23" i="3"/>
  <c r="R24" i="3"/>
  <c r="R25" i="3"/>
  <c r="P16" i="3"/>
  <c r="R27" i="3" l="1"/>
  <c r="K27" i="3"/>
  <c r="L27" i="3"/>
  <c r="O27" i="3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16" i="2"/>
  <c r="Z16" i="2"/>
  <c r="AB32" i="2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Z16" i="1"/>
  <c r="AB42" i="1" l="1"/>
  <c r="T19" i="2"/>
  <c r="T23" i="2" l="1"/>
  <c r="H16" i="3" l="1"/>
  <c r="H17" i="3"/>
  <c r="H18" i="3"/>
  <c r="H20" i="3"/>
  <c r="H19" i="3"/>
  <c r="H21" i="3"/>
  <c r="H22" i="3"/>
  <c r="H23" i="3"/>
  <c r="H24" i="3"/>
  <c r="H25" i="3"/>
  <c r="H40" i="1"/>
  <c r="H28" i="1"/>
  <c r="H23" i="1"/>
  <c r="H17" i="1"/>
  <c r="H20" i="1"/>
  <c r="H39" i="1"/>
  <c r="H29" i="1"/>
  <c r="H18" i="1"/>
  <c r="H19" i="1"/>
  <c r="H22" i="1"/>
  <c r="H37" i="1"/>
  <c r="H27" i="1"/>
  <c r="H38" i="1"/>
  <c r="H30" i="1"/>
  <c r="H34" i="1"/>
  <c r="H32" i="1"/>
  <c r="H25" i="1"/>
  <c r="H16" i="1"/>
  <c r="H21" i="1"/>
  <c r="H24" i="1"/>
  <c r="H35" i="1"/>
  <c r="H31" i="1"/>
  <c r="H33" i="1"/>
  <c r="H36" i="1"/>
  <c r="H26" i="1"/>
  <c r="G40" i="1"/>
  <c r="Y32" i="2"/>
  <c r="Y42" i="1"/>
  <c r="P17" i="3"/>
  <c r="P18" i="3"/>
  <c r="P20" i="3"/>
  <c r="P19" i="3"/>
  <c r="P21" i="3"/>
  <c r="P22" i="3"/>
  <c r="P23" i="3"/>
  <c r="P24" i="3"/>
  <c r="P25" i="3"/>
  <c r="Z40" i="1"/>
  <c r="Z28" i="1"/>
  <c r="Z23" i="1"/>
  <c r="Z17" i="1"/>
  <c r="Z20" i="1"/>
  <c r="Z39" i="1"/>
  <c r="Z29" i="1"/>
  <c r="Z18" i="1"/>
  <c r="Z19" i="1"/>
  <c r="Z22" i="1"/>
  <c r="Z37" i="1"/>
  <c r="Z27" i="1"/>
  <c r="Z38" i="1"/>
  <c r="Z30" i="1"/>
  <c r="Z34" i="1"/>
  <c r="Z32" i="1"/>
  <c r="Z25" i="1"/>
  <c r="Z21" i="1"/>
  <c r="Z24" i="1"/>
  <c r="Z35" i="1"/>
  <c r="Z31" i="1"/>
  <c r="Z33" i="1"/>
  <c r="Z36" i="1"/>
  <c r="Z26" i="1"/>
  <c r="Z21" i="2"/>
  <c r="Z28" i="2"/>
  <c r="Z22" i="2"/>
  <c r="Z25" i="2"/>
  <c r="Z24" i="2"/>
  <c r="Z26" i="2"/>
  <c r="Z20" i="2"/>
  <c r="Z17" i="2"/>
  <c r="Z18" i="2"/>
  <c r="Z30" i="2"/>
  <c r="Z19" i="2"/>
  <c r="Z27" i="2"/>
  <c r="Z29" i="2"/>
  <c r="Z23" i="2"/>
  <c r="G28" i="1"/>
  <c r="G23" i="1"/>
  <c r="G17" i="1"/>
  <c r="G20" i="1"/>
  <c r="G39" i="1"/>
  <c r="G29" i="1"/>
  <c r="G18" i="1"/>
  <c r="G19" i="1"/>
  <c r="G22" i="1"/>
  <c r="G37" i="1"/>
  <c r="G27" i="1"/>
  <c r="G38" i="1"/>
  <c r="G30" i="1"/>
  <c r="G34" i="1"/>
  <c r="G32" i="1"/>
  <c r="G25" i="1"/>
  <c r="G16" i="1"/>
  <c r="G21" i="1"/>
  <c r="G24" i="1"/>
  <c r="G35" i="1"/>
  <c r="G31" i="1"/>
  <c r="G33" i="1"/>
  <c r="G36" i="1"/>
  <c r="G26" i="1"/>
  <c r="G28" i="2"/>
  <c r="G21" i="2"/>
  <c r="G22" i="2"/>
  <c r="G25" i="2"/>
  <c r="G24" i="2"/>
  <c r="G26" i="2"/>
  <c r="G20" i="2"/>
  <c r="G17" i="2"/>
  <c r="G18" i="2"/>
  <c r="G30" i="2"/>
  <c r="G16" i="2"/>
  <c r="G19" i="2"/>
  <c r="G27" i="2"/>
  <c r="G29" i="2"/>
  <c r="G23" i="2"/>
  <c r="G16" i="3"/>
  <c r="G17" i="3"/>
  <c r="G18" i="3"/>
  <c r="G20" i="3"/>
  <c r="G19" i="3"/>
  <c r="G21" i="3"/>
  <c r="G22" i="3"/>
  <c r="G23" i="3"/>
  <c r="G24" i="3"/>
  <c r="G25" i="3"/>
  <c r="P27" i="3" l="1"/>
  <c r="Z32" i="2"/>
  <c r="Z42" i="1"/>
  <c r="K32" i="2" l="1"/>
  <c r="J32" i="2"/>
  <c r="T28" i="2"/>
  <c r="T21" i="2"/>
  <c r="T22" i="2"/>
  <c r="T25" i="2"/>
  <c r="T24" i="2"/>
  <c r="T26" i="2"/>
  <c r="T20" i="2"/>
  <c r="T17" i="2"/>
  <c r="T18" i="2"/>
  <c r="T30" i="2"/>
  <c r="T16" i="2"/>
  <c r="T27" i="2"/>
  <c r="T29" i="2"/>
  <c r="T28" i="1"/>
  <c r="T23" i="1"/>
  <c r="T17" i="1"/>
  <c r="T20" i="1"/>
  <c r="T39" i="1"/>
  <c r="T29" i="1"/>
  <c r="T18" i="1"/>
  <c r="T19" i="1"/>
  <c r="T22" i="1"/>
  <c r="T37" i="1"/>
  <c r="T27" i="1"/>
  <c r="T38" i="1"/>
  <c r="T30" i="1"/>
  <c r="T34" i="1"/>
  <c r="T32" i="1"/>
  <c r="T25" i="1"/>
  <c r="T16" i="1"/>
  <c r="T21" i="1"/>
  <c r="T24" i="1"/>
  <c r="T35" i="1"/>
  <c r="T31" i="1"/>
  <c r="T33" i="1"/>
  <c r="T36" i="1"/>
  <c r="T26" i="1"/>
  <c r="T40" i="1"/>
  <c r="K42" i="1"/>
  <c r="L42" i="1"/>
</calcChain>
</file>

<file path=xl/sharedStrings.xml><?xml version="1.0" encoding="utf-8"?>
<sst xmlns="http://schemas.openxmlformats.org/spreadsheetml/2006/main" count="661" uniqueCount="272">
  <si>
    <t>OHFA Tracking Number</t>
  </si>
  <si>
    <t>Project Name</t>
  </si>
  <si>
    <t>City</t>
  </si>
  <si>
    <t>County</t>
  </si>
  <si>
    <t>Construction Type</t>
  </si>
  <si>
    <t>Population Served</t>
  </si>
  <si>
    <t>Total Units</t>
  </si>
  <si>
    <t>Lead Developer</t>
  </si>
  <si>
    <t>HDL
Requested</t>
  </si>
  <si>
    <t>New Construction</t>
  </si>
  <si>
    <t>Families</t>
  </si>
  <si>
    <t>Cleveland</t>
  </si>
  <si>
    <t>Cuyahoga</t>
  </si>
  <si>
    <t>The Community Builders, Inc.</t>
  </si>
  <si>
    <t>Rehabilitation</t>
  </si>
  <si>
    <t>Toledo</t>
  </si>
  <si>
    <t>Lucas</t>
  </si>
  <si>
    <t>Seniors</t>
  </si>
  <si>
    <t>National Church Residences</t>
  </si>
  <si>
    <t>Adaptive Reuse</t>
  </si>
  <si>
    <t>Franklin</t>
  </si>
  <si>
    <t>Bretton Woods Phase II</t>
  </si>
  <si>
    <t>Columbus</t>
  </si>
  <si>
    <t>Lorain</t>
  </si>
  <si>
    <t>Service Enriched</t>
  </si>
  <si>
    <t>CHN Housing Partners</t>
  </si>
  <si>
    <t>Cincinnati</t>
  </si>
  <si>
    <t>Hamilton</t>
  </si>
  <si>
    <t>Talbert Services, Inc.</t>
  </si>
  <si>
    <t>Cedar Redevelopment Phase IV</t>
  </si>
  <si>
    <t>Pennrose, LLC</t>
  </si>
  <si>
    <t>Columbus Housing Partnership, Inc. dba Homeport</t>
  </si>
  <si>
    <t>NRP Holdings LLC</t>
  </si>
  <si>
    <t>Muskingum</t>
  </si>
  <si>
    <t>Buckeye Community Hope Foundation</t>
  </si>
  <si>
    <t>Lancaster</t>
  </si>
  <si>
    <t>Fairfield</t>
  </si>
  <si>
    <t xml:space="preserve">Cincinnati </t>
  </si>
  <si>
    <t>Easton Place Homes Phase 3</t>
  </si>
  <si>
    <t>Fairfield Homes, Inc.</t>
  </si>
  <si>
    <t>MVAH Development LLC</t>
  </si>
  <si>
    <t>Dayton</t>
  </si>
  <si>
    <t>Montgomery</t>
  </si>
  <si>
    <t>Model Property Development, LLC</t>
  </si>
  <si>
    <t>Woda Cooper Development, Inc.</t>
  </si>
  <si>
    <t>Wallick Development, LLC</t>
  </si>
  <si>
    <t>Lynette Gardens Senior Apartment Homes</t>
  </si>
  <si>
    <t>Hopmeadow Development, Inc.</t>
  </si>
  <si>
    <t>Preservation of Affordable Housing, Inc.</t>
  </si>
  <si>
    <t>NCJC Downtown Campus</t>
  </si>
  <si>
    <t>Sunset Development &amp; Investment, LLC</t>
  </si>
  <si>
    <t>Norton Village Apartments</t>
  </si>
  <si>
    <t>Pinehurst Apartments</t>
  </si>
  <si>
    <t>Waverly</t>
  </si>
  <si>
    <t>Pike</t>
  </si>
  <si>
    <t>Warner and Swasey II</t>
  </si>
  <si>
    <t>22-0281</t>
  </si>
  <si>
    <t>22-0236</t>
  </si>
  <si>
    <t>22-0273</t>
  </si>
  <si>
    <t>22-0262</t>
  </si>
  <si>
    <t>22-0289</t>
  </si>
  <si>
    <t>22-0237</t>
  </si>
  <si>
    <t>22-0284</t>
  </si>
  <si>
    <t>22-0214</t>
  </si>
  <si>
    <t>22-0249</t>
  </si>
  <si>
    <t>22-0230</t>
  </si>
  <si>
    <t>22-0263</t>
  </si>
  <si>
    <t>22-0259</t>
  </si>
  <si>
    <t>22-0270</t>
  </si>
  <si>
    <t>22-0245</t>
  </si>
  <si>
    <t>22-0248</t>
  </si>
  <si>
    <t>22-0247</t>
  </si>
  <si>
    <t>22-0238</t>
  </si>
  <si>
    <t>22-0242</t>
  </si>
  <si>
    <t>22-0246</t>
  </si>
  <si>
    <t>22-0264</t>
  </si>
  <si>
    <t>22-0228</t>
  </si>
  <si>
    <t>22-0285</t>
  </si>
  <si>
    <t>22-0254</t>
  </si>
  <si>
    <t>22-0243</t>
  </si>
  <si>
    <t>22-0232</t>
  </si>
  <si>
    <t>22-0233</t>
  </si>
  <si>
    <t>22-0290</t>
  </si>
  <si>
    <t>22-0282</t>
  </si>
  <si>
    <t>22-0267</t>
  </si>
  <si>
    <t>22-0258</t>
  </si>
  <si>
    <t>22-0231</t>
  </si>
  <si>
    <t>22-0234</t>
  </si>
  <si>
    <t>22-0235</t>
  </si>
  <si>
    <t>22-0286</t>
  </si>
  <si>
    <t>22-0256</t>
  </si>
  <si>
    <t>22-0278</t>
  </si>
  <si>
    <t>22-0250</t>
  </si>
  <si>
    <t>22-0244</t>
  </si>
  <si>
    <t>22-0269</t>
  </si>
  <si>
    <t>22-0255</t>
  </si>
  <si>
    <t>22-0229</t>
  </si>
  <si>
    <t>22-0257</t>
  </si>
  <si>
    <t>22-0261</t>
  </si>
  <si>
    <t>22-0287</t>
  </si>
  <si>
    <t>22-0283</t>
  </si>
  <si>
    <t>22-0239</t>
  </si>
  <si>
    <t>22-0241</t>
  </si>
  <si>
    <t>22-0240</t>
  </si>
  <si>
    <t>Arborview Family Housing</t>
  </si>
  <si>
    <t>Beechwood</t>
  </si>
  <si>
    <t>Blair Lofts II &amp; Lindsay Lofts</t>
  </si>
  <si>
    <t>Broadleigh Lofts</t>
  </si>
  <si>
    <t>Cambridge House Apartments II</t>
  </si>
  <si>
    <t xml:space="preserve">Carthage Flats </t>
  </si>
  <si>
    <t>Country Ridge Apartments</t>
  </si>
  <si>
    <t>Dering Family Homes</t>
  </si>
  <si>
    <t>Dorr Street Senior</t>
  </si>
  <si>
    <t>Framingham Village</t>
  </si>
  <si>
    <t>Geiger House for Veterans</t>
  </si>
  <si>
    <t xml:space="preserve">Granville Woods Lofts </t>
  </si>
  <si>
    <t>Granville Woods Lofts II</t>
  </si>
  <si>
    <t>Great Southern Apartments</t>
  </si>
  <si>
    <t>Harrison Senior Lofts</t>
  </si>
  <si>
    <t>Huffman Place</t>
  </si>
  <si>
    <t>Hunter Trace</t>
  </si>
  <si>
    <t>Kinship Family Housing</t>
  </si>
  <si>
    <t>Lincoln &amp; Gilbert Family II</t>
  </si>
  <si>
    <t>Lofts on North Main Street</t>
  </si>
  <si>
    <t>Marion Village Apartments</t>
  </si>
  <si>
    <t>Munson Crossing</t>
  </si>
  <si>
    <t>Nelson Park Apartments</t>
  </si>
  <si>
    <t>North View Manor</t>
  </si>
  <si>
    <t>Norton Family Apartments</t>
  </si>
  <si>
    <t>Robert Fulton School</t>
  </si>
  <si>
    <t>Rose Commons</t>
  </si>
  <si>
    <t>Rotary Commons</t>
  </si>
  <si>
    <t>Seasons Grove</t>
  </si>
  <si>
    <t>Senior Lofts on North Main</t>
  </si>
  <si>
    <t>Southern Heights Preservation</t>
  </si>
  <si>
    <t>Springboro Sherman</t>
  </si>
  <si>
    <t>Stratford Place</t>
  </si>
  <si>
    <t>Sunrise Homes</t>
  </si>
  <si>
    <t xml:space="preserve">Terri Manor </t>
  </si>
  <si>
    <t>The Grand &amp; The Glen</t>
  </si>
  <si>
    <t>Turtle Creek</t>
  </si>
  <si>
    <t>W 25th Street Senior Apartments</t>
  </si>
  <si>
    <t>Walnut Grove Apartments</t>
  </si>
  <si>
    <t>West Elm Apartments</t>
  </si>
  <si>
    <t>Zane Commons</t>
  </si>
  <si>
    <t>Hitchcock Center for Women Treatment</t>
  </si>
  <si>
    <t>Springfield</t>
  </si>
  <si>
    <t>Clark</t>
  </si>
  <si>
    <t>Ashtabula</t>
  </si>
  <si>
    <t>Avondale</t>
  </si>
  <si>
    <t>Hilliard</t>
  </si>
  <si>
    <t>Marion</t>
  </si>
  <si>
    <t>Zanesville</t>
  </si>
  <si>
    <t>Medina</t>
  </si>
  <si>
    <t>Bellevue</t>
  </si>
  <si>
    <t>Sandusky</t>
  </si>
  <si>
    <t>Grove City</t>
  </si>
  <si>
    <t>Scattered</t>
  </si>
  <si>
    <t>Warren</t>
  </si>
  <si>
    <t>Mansfield</t>
  </si>
  <si>
    <t>Richland</t>
  </si>
  <si>
    <t>Wauseon</t>
  </si>
  <si>
    <t>Fulton</t>
  </si>
  <si>
    <t>Stock Development Company, LLC</t>
  </si>
  <si>
    <t>CountyCorp</t>
  </si>
  <si>
    <t>Cincinnati Metropolitan Housing Authority</t>
  </si>
  <si>
    <t>Columbus Metropolitan Housing Authority</t>
  </si>
  <si>
    <t>LDG Multifamily, LLC</t>
  </si>
  <si>
    <t>St. Mary Development</t>
  </si>
  <si>
    <t>The Finch Group</t>
  </si>
  <si>
    <t>Renewal Development Associates, LLC</t>
  </si>
  <si>
    <t>Tober Development Company, LLC</t>
  </si>
  <si>
    <t>Salus Development LLC</t>
  </si>
  <si>
    <t>Sieber Construction, Inc.</t>
  </si>
  <si>
    <t>PK Development Group, LLC</t>
  </si>
  <si>
    <t>Integrated PSH</t>
  </si>
  <si>
    <t>Total HDAP Request</t>
  </si>
  <si>
    <t>Blacklick</t>
  </si>
  <si>
    <t>HDAP Request</t>
  </si>
  <si>
    <t>Geographic Diversity
(5 points max)</t>
  </si>
  <si>
    <t>ELI Targeting
(5 points max)</t>
  </si>
  <si>
    <t>Leverage
(5 points max)</t>
  </si>
  <si>
    <t>Cost Efficiency
(5 points max)</t>
  </si>
  <si>
    <t>Total Projects:</t>
  </si>
  <si>
    <t>Market Rate Conversion
(5 points max)</t>
  </si>
  <si>
    <t>Rehab Scope
(5 points max)</t>
  </si>
  <si>
    <r>
      <rPr>
        <b/>
        <sz val="11"/>
        <color theme="0"/>
        <rFont val="Arial"/>
        <family val="2"/>
      </rPr>
      <t>Total Points</t>
    </r>
    <r>
      <rPr>
        <sz val="11"/>
        <color theme="0"/>
        <rFont val="Arial"/>
        <family val="2"/>
      </rPr>
      <t xml:space="preserve">
(25 points max)</t>
    </r>
  </si>
  <si>
    <t>Units ≤ 30% AMI</t>
  </si>
  <si>
    <t>LIHTC Awards Over Last 3 Years</t>
  </si>
  <si>
    <t>Basic Project Information</t>
  </si>
  <si>
    <t>Competitive Scoring Review</t>
  </si>
  <si>
    <t>Default or Foreclosure
(5 points)</t>
  </si>
  <si>
    <t>Physical Condition
(4 points)</t>
  </si>
  <si>
    <t>22-0275</t>
  </si>
  <si>
    <t>Geography</t>
  </si>
  <si>
    <t>Central City</t>
  </si>
  <si>
    <t>Metro/Suburban</t>
  </si>
  <si>
    <t>Rural</t>
  </si>
  <si>
    <t>Clermont</t>
  </si>
  <si>
    <t>Mahoning</t>
  </si>
  <si>
    <t>Stark</t>
  </si>
  <si>
    <t>Trumbull</t>
  </si>
  <si>
    <t>Tiebreakers</t>
  </si>
  <si>
    <t>Funding Result</t>
  </si>
  <si>
    <t>HDAP Reserved</t>
  </si>
  <si>
    <t>Funded - Competitive</t>
  </si>
  <si>
    <t>Funded - Appalachian Set Aside</t>
  </si>
  <si>
    <t>Funded - Strategic Initiatives</t>
  </si>
  <si>
    <t>Not Funded - Withdrawn</t>
  </si>
  <si>
    <t>Not Funded - Non-Competitive</t>
  </si>
  <si>
    <t>Not Funded - Developer Cap</t>
  </si>
  <si>
    <t>Funding Decisions</t>
  </si>
  <si>
    <t>Not Funded - Did Not Pass Minimum Review</t>
  </si>
  <si>
    <t>Funded - Non-PJ Set Aside</t>
  </si>
  <si>
    <t>Appalachian Counties</t>
  </si>
  <si>
    <t>Adams</t>
  </si>
  <si>
    <t>Athens</t>
  </si>
  <si>
    <t>Belmont</t>
  </si>
  <si>
    <t>Brown</t>
  </si>
  <si>
    <t>Carroll</t>
  </si>
  <si>
    <t>Columbiana</t>
  </si>
  <si>
    <t>Coshocton</t>
  </si>
  <si>
    <t>Gallia</t>
  </si>
  <si>
    <t>Guernsey</t>
  </si>
  <si>
    <t>Harrison</t>
  </si>
  <si>
    <t>Highland</t>
  </si>
  <si>
    <t>Hocking</t>
  </si>
  <si>
    <t>Holmes</t>
  </si>
  <si>
    <t>Jackson</t>
  </si>
  <si>
    <t>Jefferson</t>
  </si>
  <si>
    <t>Lawrence</t>
  </si>
  <si>
    <t>Meigs</t>
  </si>
  <si>
    <t>Monroe</t>
  </si>
  <si>
    <t>Morgan</t>
  </si>
  <si>
    <t>Noble</t>
  </si>
  <si>
    <t>Perry</t>
  </si>
  <si>
    <t>Ross</t>
  </si>
  <si>
    <t>Scioto</t>
  </si>
  <si>
    <t>Tuscarawas</t>
  </si>
  <si>
    <t>Vinton</t>
  </si>
  <si>
    <t>Washington</t>
  </si>
  <si>
    <t>Ohio City PJs</t>
  </si>
  <si>
    <t>Ohio County PJs</t>
  </si>
  <si>
    <t>Akron</t>
  </si>
  <si>
    <t>Canton</t>
  </si>
  <si>
    <t>East Cleveland</t>
  </si>
  <si>
    <t>Lima</t>
  </si>
  <si>
    <t>Youngstown</t>
  </si>
  <si>
    <t>Lake</t>
  </si>
  <si>
    <t>Summit</t>
  </si>
  <si>
    <t>Butler</t>
  </si>
  <si>
    <t>Funded - Passed Minimum Review</t>
  </si>
  <si>
    <t>Total:</t>
  </si>
  <si>
    <t>Funding Decision</t>
  </si>
  <si>
    <t>HUD Participating Jurisdiction</t>
  </si>
  <si>
    <t>Funding Results</t>
  </si>
  <si>
    <t>New Affordability Pool</t>
  </si>
  <si>
    <t>Preserved Affordability Pool</t>
  </si>
  <si>
    <t>Appalachian County</t>
  </si>
  <si>
    <t>22-0274</t>
  </si>
  <si>
    <t>Link to Proposal Summary</t>
  </si>
  <si>
    <t>Click here</t>
  </si>
  <si>
    <t>HDL Reserved</t>
  </si>
  <si>
    <t>HDL
Reserved</t>
  </si>
  <si>
    <r>
      <t xml:space="preserve">Project Based Rental Assistance
</t>
    </r>
    <r>
      <rPr>
        <sz val="11"/>
        <color theme="0"/>
        <rFont val="Arial"/>
        <family val="2"/>
      </rPr>
      <t>(5 points max)</t>
    </r>
  </si>
  <si>
    <t>HDL
Awarded</t>
  </si>
  <si>
    <t>HOME - American Rescue Plan ("HOME-ARP") Pool</t>
  </si>
  <si>
    <t>HDL Request</t>
  </si>
  <si>
    <r>
      <rPr>
        <u/>
        <sz val="11"/>
        <color theme="1" tint="0.249977111117893"/>
        <rFont val="Arial"/>
        <family val="2"/>
      </rPr>
      <t>PJ Only</t>
    </r>
    <r>
      <rPr>
        <sz val="11"/>
        <color theme="1" tint="0.249977111117893"/>
        <rFont val="Arial"/>
        <family val="2"/>
      </rPr>
      <t>: Transit
(5 points max)</t>
    </r>
  </si>
  <si>
    <r>
      <rPr>
        <u/>
        <sz val="11"/>
        <color theme="1" tint="0.249977111117893"/>
        <rFont val="Arial"/>
        <family val="2"/>
      </rPr>
      <t>Non-PJ Only</t>
    </r>
    <r>
      <rPr>
        <sz val="11"/>
        <color theme="1" tint="0.249977111117893"/>
        <rFont val="Arial"/>
        <family val="2"/>
      </rPr>
      <t>: VLI Households
(5 points max)</t>
    </r>
  </si>
  <si>
    <t>Severe Rent Burden</t>
  </si>
  <si>
    <t>2022 4% LIHTC with Bond Gap Financing ("BGF") Competitive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</si>
</sst>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1"/>
      <color theme="1" tint="0.249977111117893"/>
      <name val="Arial"/>
      <family val="2"/>
    </font>
    <font>
      <u/>
      <sz val="11"/>
      <color theme="1" tint="0.24997711111789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86"/>
        <bgColor indexed="64"/>
      </patternFill>
    </fill>
    <fill>
      <patternFill patternType="solid">
        <fgColor rgb="FFA8DC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6AA80"/>
        <bgColor indexed="64"/>
      </patternFill>
    </fill>
    <fill>
      <patternFill patternType="solid">
        <fgColor rgb="FFC4CC8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0" borderId="0" xfId="0" applyFont="1"/>
    <xf numFmtId="3" fontId="1" fillId="0" borderId="0" xfId="0" applyNumberFormat="1" applyFont="1"/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3" fontId="1" fillId="0" borderId="2" xfId="0" applyNumberFormat="1" applyFont="1" applyBorder="1" applyAlignment="1" applyProtection="1">
      <alignment horizontal="left" vertical="center" indent="1"/>
      <protection locked="0"/>
    </xf>
    <xf numFmtId="164" fontId="1" fillId="0" borderId="2" xfId="0" applyNumberFormat="1" applyFont="1" applyBorder="1" applyAlignment="1" applyProtection="1">
      <alignment horizontal="left" vertical="center" indent="1"/>
      <protection locked="0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>
      <alignment horizontal="left" vertical="center" indent="1"/>
    </xf>
    <xf numFmtId="1" fontId="1" fillId="2" borderId="2" xfId="0" applyNumberFormat="1" applyFont="1" applyFill="1" applyBorder="1" applyAlignment="1">
      <alignment horizontal="left" vertical="center" indent="1"/>
    </xf>
    <xf numFmtId="9" fontId="1" fillId="2" borderId="2" xfId="0" applyNumberFormat="1" applyFont="1" applyFill="1" applyBorder="1" applyAlignment="1">
      <alignment horizontal="left" vertical="center" indent="1"/>
    </xf>
    <xf numFmtId="3" fontId="1" fillId="2" borderId="0" xfId="0" applyNumberFormat="1" applyFont="1" applyFill="1"/>
    <xf numFmtId="16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3" fontId="1" fillId="0" borderId="6" xfId="0" applyNumberFormat="1" applyFont="1" applyBorder="1" applyAlignment="1" applyProtection="1">
      <alignment horizontal="left" vertical="center" indent="1"/>
      <protection locked="0"/>
    </xf>
    <xf numFmtId="164" fontId="1" fillId="0" borderId="6" xfId="0" applyNumberFormat="1" applyFont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>
      <alignment horizontal="left" indent="1"/>
    </xf>
    <xf numFmtId="1" fontId="1" fillId="2" borderId="6" xfId="0" applyNumberFormat="1" applyFont="1" applyFill="1" applyBorder="1" applyAlignment="1">
      <alignment horizontal="left" vertical="center" inden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3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1" fillId="2" borderId="4" xfId="0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3" fontId="1" fillId="0" borderId="2" xfId="0" applyNumberFormat="1" applyFont="1" applyFill="1" applyBorder="1" applyAlignment="1" applyProtection="1">
      <alignment horizontal="left" vertical="center" indent="1"/>
      <protection locked="0"/>
    </xf>
    <xf numFmtId="164" fontId="1" fillId="0" borderId="2" xfId="0" applyNumberFormat="1" applyFont="1" applyFill="1" applyBorder="1" applyAlignment="1" applyProtection="1">
      <alignment horizontal="left" vertical="center" indent="1"/>
      <protection locked="0"/>
    </xf>
    <xf numFmtId="164" fontId="1" fillId="2" borderId="6" xfId="0" applyNumberFormat="1" applyFont="1" applyFill="1" applyBorder="1" applyAlignment="1" applyProtection="1">
      <alignment horizontal="left" vertical="center" indent="1"/>
      <protection locked="0"/>
    </xf>
    <xf numFmtId="0" fontId="1" fillId="0" borderId="6" xfId="0" applyFont="1" applyFill="1" applyBorder="1" applyAlignment="1" applyProtection="1">
      <alignment horizontal="left" vertical="center" inden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4" fontId="1" fillId="0" borderId="2" xfId="0" applyNumberFormat="1" applyFont="1" applyBorder="1" applyAlignment="1">
      <alignment horizontal="left" vertical="center" indent="1"/>
    </xf>
    <xf numFmtId="0" fontId="1" fillId="2" borderId="0" xfId="0" applyFont="1" applyFill="1" applyAlignment="1">
      <alignment horizontal="center"/>
    </xf>
    <xf numFmtId="49" fontId="5" fillId="2" borderId="2" xfId="2" applyNumberFormat="1" applyFont="1" applyFill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>
      <alignment horizontal="left" indent="1"/>
    </xf>
    <xf numFmtId="0" fontId="8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5" borderId="2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2" borderId="2" xfId="0" applyNumberFormat="1" applyFont="1" applyFill="1" applyBorder="1" applyAlignment="1">
      <alignment horizontal="left" vertical="center" indent="1"/>
    </xf>
    <xf numFmtId="49" fontId="5" fillId="0" borderId="2" xfId="2" applyNumberFormat="1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 vertical="center" indent="1"/>
    </xf>
    <xf numFmtId="9" fontId="1" fillId="2" borderId="6" xfId="0" applyNumberFormat="1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3" xfId="0" applyNumberFormat="1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>
      <alignment horizontal="left" indent="1"/>
    </xf>
    <xf numFmtId="0" fontId="1" fillId="2" borderId="5" xfId="0" applyFont="1" applyFill="1" applyBorder="1" applyAlignment="1" applyProtection="1">
      <alignment horizontal="left" vertical="center" indent="1"/>
      <protection locked="0"/>
    </xf>
    <xf numFmtId="3" fontId="1" fillId="2" borderId="6" xfId="0" applyNumberFormat="1" applyFont="1" applyFill="1" applyBorder="1" applyAlignment="1" applyProtection="1">
      <alignment horizontal="left" vertical="center" indent="1"/>
      <protection locked="0"/>
    </xf>
    <xf numFmtId="164" fontId="1" fillId="2" borderId="7" xfId="0" applyNumberFormat="1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>
      <alignment horizontal="left" indent="1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horizontal="left" vertical="center" indent="1"/>
    </xf>
    <xf numFmtId="0" fontId="1" fillId="2" borderId="0" xfId="0" applyFont="1" applyFill="1" applyAlignment="1">
      <alignment horizontal="right" vertical="center" indent="1"/>
    </xf>
    <xf numFmtId="0" fontId="1" fillId="2" borderId="0" xfId="0" applyFont="1" applyFill="1" applyBorder="1" applyAlignment="1" applyProtection="1">
      <alignment horizontal="left" vertical="center" indent="1"/>
      <protection locked="0"/>
    </xf>
    <xf numFmtId="3" fontId="1" fillId="2" borderId="0" xfId="0" applyNumberFormat="1" applyFont="1" applyFill="1" applyBorder="1" applyAlignment="1" applyProtection="1">
      <alignment horizontal="left" vertical="center" indent="1"/>
      <protection locked="0"/>
    </xf>
    <xf numFmtId="164" fontId="3" fillId="5" borderId="2" xfId="0" applyNumberFormat="1" applyFont="1" applyFill="1" applyBorder="1" applyAlignment="1">
      <alignment horizontal="left" vertical="center" indent="1"/>
    </xf>
    <xf numFmtId="3" fontId="3" fillId="5" borderId="2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right" vertical="center" indent="1"/>
    </xf>
    <xf numFmtId="0" fontId="1" fillId="2" borderId="0" xfId="0" applyFont="1" applyFill="1" applyBorder="1" applyAlignment="1">
      <alignment horizontal="right" vertical="center" indent="2"/>
    </xf>
    <xf numFmtId="0" fontId="1" fillId="2" borderId="9" xfId="0" applyFont="1" applyFill="1" applyBorder="1"/>
    <xf numFmtId="3" fontId="1" fillId="2" borderId="9" xfId="0" applyNumberFormat="1" applyFont="1" applyFill="1" applyBorder="1"/>
    <xf numFmtId="164" fontId="1" fillId="2" borderId="9" xfId="0" applyNumberFormat="1" applyFont="1" applyFill="1" applyBorder="1"/>
    <xf numFmtId="0" fontId="1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164" fontId="13" fillId="2" borderId="0" xfId="0" applyNumberFormat="1" applyFont="1" applyFill="1"/>
    <xf numFmtId="0" fontId="13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left" vertical="center" indent="1"/>
    </xf>
    <xf numFmtId="3" fontId="1" fillId="0" borderId="6" xfId="0" applyNumberFormat="1" applyFont="1" applyFill="1" applyBorder="1" applyAlignment="1" applyProtection="1">
      <alignment horizontal="left" vertical="center" indent="1"/>
      <protection locked="0"/>
    </xf>
    <xf numFmtId="164" fontId="1" fillId="0" borderId="6" xfId="0" applyNumberFormat="1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>
      <alignment horizontal="left" vertical="center" indent="1"/>
    </xf>
    <xf numFmtId="49" fontId="5" fillId="0" borderId="6" xfId="2" applyNumberFormat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Alignment="1">
      <alignment horizontal="left" vertical="center" indent="1"/>
    </xf>
    <xf numFmtId="164" fontId="1" fillId="0" borderId="2" xfId="0" applyNumberFormat="1" applyFont="1" applyFill="1" applyBorder="1" applyAlignment="1">
      <alignment horizontal="left" vertical="center" indent="1"/>
    </xf>
    <xf numFmtId="164" fontId="1" fillId="0" borderId="2" xfId="0" applyNumberFormat="1" applyFont="1" applyFill="1" applyBorder="1" applyAlignment="1" applyProtection="1">
      <alignment horizontal="left" vertical="center" indent="2"/>
      <protection locked="0"/>
    </xf>
    <xf numFmtId="164" fontId="1" fillId="0" borderId="6" xfId="0" applyNumberFormat="1" applyFont="1" applyFill="1" applyBorder="1" applyAlignment="1" applyProtection="1">
      <alignment horizontal="left" vertical="center" indent="2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indent="2"/>
    </xf>
    <xf numFmtId="0" fontId="13" fillId="2" borderId="0" xfId="0" applyFont="1" applyFill="1" applyAlignment="1"/>
    <xf numFmtId="0" fontId="13" fillId="0" borderId="0" xfId="0" applyFont="1" applyAlignment="1"/>
    <xf numFmtId="9" fontId="1" fillId="2" borderId="0" xfId="0" applyNumberFormat="1" applyFont="1" applyFill="1"/>
    <xf numFmtId="9" fontId="1" fillId="2" borderId="9" xfId="0" applyNumberFormat="1" applyFont="1" applyFill="1" applyBorder="1"/>
    <xf numFmtId="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/>
    <xf numFmtId="9" fontId="1" fillId="2" borderId="0" xfId="0" applyNumberFormat="1" applyFont="1" applyFill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9" fontId="1" fillId="0" borderId="2" xfId="1" applyNumberFormat="1" applyFont="1" applyFill="1" applyBorder="1" applyAlignment="1">
      <alignment horizontal="left" vertical="center" indent="1"/>
    </xf>
    <xf numFmtId="9" fontId="1" fillId="0" borderId="6" xfId="1" applyNumberFormat="1" applyFont="1" applyFill="1" applyBorder="1" applyAlignment="1">
      <alignment horizontal="left" vertical="center" indent="1"/>
    </xf>
    <xf numFmtId="9" fontId="1" fillId="2" borderId="0" xfId="1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/>
    <xf numFmtId="0" fontId="17" fillId="0" borderId="2" xfId="5" applyFont="1" applyBorder="1" applyAlignment="1" applyProtection="1">
      <alignment horizontal="left" vertical="center" indent="1"/>
      <protection locked="0"/>
    </xf>
    <xf numFmtId="0" fontId="17" fillId="2" borderId="2" xfId="5" applyFont="1" applyFill="1" applyBorder="1" applyAlignment="1" applyProtection="1">
      <alignment horizontal="left" vertical="center" indent="1"/>
      <protection locked="0"/>
    </xf>
    <xf numFmtId="0" fontId="17" fillId="0" borderId="2" xfId="5" applyFont="1" applyFill="1" applyBorder="1" applyAlignment="1" applyProtection="1">
      <alignment horizontal="left" vertical="center" indent="1"/>
      <protection locked="0"/>
    </xf>
    <xf numFmtId="0" fontId="1" fillId="7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/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</cellXfs>
  <cellStyles count="6">
    <cellStyle name="Currency" xfId="2" builtinId="4"/>
    <cellStyle name="Hyperlink" xfId="5" builtinId="8"/>
    <cellStyle name="Normal" xfId="0" builtinId="0"/>
    <cellStyle name="Normal 2" xfId="3"/>
    <cellStyle name="Percent" xfId="1" builtinId="5"/>
    <cellStyle name="Percent 2" xfId="4"/>
  </cellStyles>
  <dxfs count="86">
    <dxf>
      <font>
        <strike val="0"/>
        <outline val="0"/>
        <shadow val="0"/>
        <vertAlign val="baseline"/>
        <sz val="11"/>
        <name val="Arial"/>
        <scheme val="none"/>
      </font>
      <numFmt numFmtId="0" formatCode="General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Arial"/>
        <scheme val="none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bottom style="thin">
          <color theme="0" tint="-0.499984740745262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</dxf>
    <dxf>
      <border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  <protection locked="0" hidden="0"/>
    </dxf>
    <dxf>
      <fill>
        <patternFill>
          <bgColor rgb="FFCCFFCC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Arial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4" formatCode="&quot;$&quot;#,##0"/>
      <fill>
        <patternFill patternType="none">
          <fgColor theme="0" tint="-0.499984740745262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3" formatCode="0%"/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theme="0" tint="-0.499984740745262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theme="0" tint="-0.499984740745262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fill>
        <patternFill patternType="none">
          <fgColor theme="0" tint="-0.499984740745262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top style="thin">
          <color theme="0" tint="-0.499984740745262"/>
        </top>
      </border>
    </dxf>
    <dxf>
      <border outline="0">
        <right style="thin">
          <color theme="0" tint="-0.499984740745262"/>
        </right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border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  <protection locked="0" hidden="0"/>
    </dxf>
    <dxf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left style="thin">
          <color theme="0" tint="-0.499984740745262"/>
        </left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99FF99"/>
      <color rgb="FFC4CC8F"/>
      <color rgb="FF56AA80"/>
      <color rgb="FF005186"/>
      <color rgb="FFA8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84669</xdr:rowOff>
    </xdr:from>
    <xdr:to>
      <xdr:col>2</xdr:col>
      <xdr:colOff>1628020</xdr:colOff>
      <xdr:row>3</xdr:row>
      <xdr:rowOff>19148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152400" y="84669"/>
          <a:ext cx="2567820" cy="5186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186266</xdr:colOff>
      <xdr:row>3</xdr:row>
      <xdr:rowOff>93134</xdr:rowOff>
    </xdr:from>
    <xdr:to>
      <xdr:col>4</xdr:col>
      <xdr:colOff>841138</xdr:colOff>
      <xdr:row>3</xdr:row>
      <xdr:rowOff>245534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86266" y="677334"/>
          <a:ext cx="5489339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83372</xdr:colOff>
      <xdr:row>5</xdr:row>
      <xdr:rowOff>145821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94733" y="914400"/>
          <a:ext cx="5569772" cy="1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84669</xdr:rowOff>
    </xdr:from>
    <xdr:to>
      <xdr:col>2</xdr:col>
      <xdr:colOff>1597540</xdr:colOff>
      <xdr:row>3</xdr:row>
      <xdr:rowOff>14068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152400" y="84669"/>
          <a:ext cx="2565280" cy="5059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</xdr:row>
      <xdr:rowOff>93137</xdr:rowOff>
    </xdr:from>
    <xdr:to>
      <xdr:col>5</xdr:col>
      <xdr:colOff>587139</xdr:colOff>
      <xdr:row>3</xdr:row>
      <xdr:rowOff>245537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94733" y="626537"/>
          <a:ext cx="5489339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345839</xdr:colOff>
      <xdr:row>5</xdr:row>
      <xdr:rowOff>145821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94733" y="914400"/>
          <a:ext cx="5248039" cy="1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84669</xdr:rowOff>
    </xdr:from>
    <xdr:to>
      <xdr:col>2</xdr:col>
      <xdr:colOff>1605160</xdr:colOff>
      <xdr:row>3</xdr:row>
      <xdr:rowOff>8988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152400" y="84669"/>
          <a:ext cx="2565280" cy="5008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</xdr:row>
      <xdr:rowOff>93137</xdr:rowOff>
    </xdr:from>
    <xdr:to>
      <xdr:col>4</xdr:col>
      <xdr:colOff>1051959</xdr:colOff>
      <xdr:row>3</xdr:row>
      <xdr:rowOff>248077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90500" y="664637"/>
          <a:ext cx="5481719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811505</xdr:colOff>
      <xdr:row>5</xdr:row>
      <xdr:rowOff>145821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90500" y="899160"/>
          <a:ext cx="5240419" cy="1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5:AB40" totalsRowShown="0" headerRowDxfId="84" dataDxfId="83" tableBorderDxfId="82">
  <autoFilter ref="B15:AB40"/>
  <sortState ref="B6:AM32">
    <sortCondition descending="1" ref="T6:T32"/>
    <sortCondition ref="U6:U32"/>
    <sortCondition descending="1" ref="V6:V32"/>
    <sortCondition descending="1" ref="W6:W32"/>
  </sortState>
  <tableColumns count="27">
    <tableColumn id="1" name="OHFA Tracking Number" dataDxfId="81"/>
    <tableColumn id="2" name="Project Name" dataDxfId="80"/>
    <tableColumn id="39" name="Link to Proposal Summary" dataDxfId="79"/>
    <tableColumn id="4" name="City" dataDxfId="78"/>
    <tableColumn id="5" name="County" dataDxfId="77"/>
    <tableColumn id="29" name="HUD Participating Jurisdiction" dataDxfId="76">
      <calculatedColumnFormula>IF(SUM(IFERROR(IF(VLOOKUP(Table1[[#This Row],[City]],Data!$E$2:$E$16,1,FALSE)=Table1[[#This Row],[City]],1,0),0)+IFERROR(IF(VLOOKUP(Table1[[#This Row],[County]],Data!$G$2:$G$9,1,FALSE)=Table1[[#This Row],[County]],1,0),0))&gt;0,"Yes","No")</calculatedColumnFormula>
    </tableColumn>
    <tableColumn id="35" name="Appalachian County" dataDxfId="75">
      <calculatedColumnFormula>IFERROR(IF(VLOOKUP(Table1[[#This Row],[County]],Data!$C$2:$C$33,1,FALSE)=Table1[[#This Row],[County]],"Yes","No"),"No")</calculatedColumnFormula>
    </tableColumn>
    <tableColumn id="37" name="Geography" dataDxfId="74"/>
    <tableColumn id="6" name="Construction Type" dataDxfId="73"/>
    <tableColumn id="7" name="Population Served" dataDxfId="72"/>
    <tableColumn id="8" name="Total Units" dataDxfId="71"/>
    <tableColumn id="9" name="Lead Developer" dataDxfId="70"/>
    <tableColumn id="18" name="Geographic Diversity_x000a_(5 points max)" dataDxfId="69"/>
    <tableColumn id="19" name="ELI Targeting_x000a_(5 points max)" dataDxfId="68"/>
    <tableColumn id="20" name="PJ Only: Transit_x000a_(5 points max)" dataDxfId="67"/>
    <tableColumn id="21" name="Non-PJ Only: VLI Households_x000a_(5 points max)" dataDxfId="66"/>
    <tableColumn id="22" name="Leverage_x000a_(5 points max)" dataDxfId="65"/>
    <tableColumn id="23" name="Cost Efficiency_x000a_(5 points max)" dataDxfId="64"/>
    <tableColumn id="24" name="Total Points_x000a_(25 points max)" dataDxfId="63">
      <calculatedColumnFormula>SUM(N16:O16,MAX(P16:Q16),R16:S16)</calculatedColumnFormula>
    </tableColumn>
    <tableColumn id="25" name="LIHTC Awards Over Last 3 Years" dataDxfId="62"/>
    <tableColumn id="26" name="Units ≤ 30% AMI" dataDxfId="61"/>
    <tableColumn id="27" name="Severe Rent Burden" dataDxfId="60"/>
    <tableColumn id="30" name="Funding Result" dataDxfId="59"/>
    <tableColumn id="31" name="HDAP Request" dataDxfId="58"/>
    <tableColumn id="33" name="HDAP Reserved" dataDxfId="57">
      <calculatedColumnFormula>IF(Table1[[#This Row],[Funding Result]]="","",IF(LEFT(Table1[[#This Row],[Funding Result]],6)="Funded",Table1[[#This Row],[HDAP Request]],0))</calculatedColumnFormula>
    </tableColumn>
    <tableColumn id="40" name="HDL_x000a_Requested" dataDxfId="56"/>
    <tableColumn id="41" name="HDL_x000a_Reserved" dataDxfId="55">
      <calculatedColumnFormula>IF(Table1[[#This Row],[Funding Result]]="","",IF(LEFT(Table1[[#This Row],[Funding Result]],6)="Funded",Table1[[#This Row],[HDL
Requested]],0))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5:AB30" totalsRowShown="0" headerRowDxfId="53" dataDxfId="51" headerRowBorderDxfId="52" tableBorderDxfId="50" totalsRowBorderDxfId="49">
  <autoFilter ref="B15:AB30"/>
  <sortState ref="B6:AN24">
    <sortCondition descending="1" ref="T6:T24"/>
    <sortCondition ref="U6:U24"/>
    <sortCondition descending="1" ref="V6:V24"/>
    <sortCondition descending="1" ref="W6:W24"/>
  </sortState>
  <tableColumns count="27">
    <tableColumn id="1" name="OHFA Tracking Number" dataDxfId="48"/>
    <tableColumn id="2" name="Project Name" dataDxfId="47"/>
    <tableColumn id="38" name="Link to Proposal Summary" dataDxfId="46"/>
    <tableColumn id="4" name="City" dataDxfId="45"/>
    <tableColumn id="5" name="County" dataDxfId="44"/>
    <tableColumn id="31" name="HUD Participating Jurisdiction" dataDxfId="43">
      <calculatedColumnFormula>IF(SUM(IFERROR(IF(VLOOKUP(Table2[[#This Row],[City]],Data!$E$2:$E$16,1,FALSE)=Table2[[#This Row],[City]],1,0),0)+IFERROR(IF(VLOOKUP(Table2[[#This Row],[County]],Data!$G$2:$G$9,1,FALSE)=Table2[[#This Row],[County]],1,0),0))&gt;0,"Yes","No")</calculatedColumnFormula>
    </tableColumn>
    <tableColumn id="36" name="Geography" dataDxfId="42"/>
    <tableColumn id="6" name="Construction Type" dataDxfId="41"/>
    <tableColumn id="7" name="Population Served" dataDxfId="40"/>
    <tableColumn id="8" name="Total Units" dataDxfId="39"/>
    <tableColumn id="9" name="Lead Developer" dataDxfId="38"/>
    <tableColumn id="18" name="Project Based Rental Assistance_x000a_(5 points max)" dataDxfId="37"/>
    <tableColumn id="19" name="Leverage_x000a_(5 points max)" dataDxfId="36"/>
    <tableColumn id="20" name="Default or Foreclosure_x000a_(5 points)" dataDxfId="35"/>
    <tableColumn id="21" name="Physical Condition_x000a_(4 points)" dataDxfId="34"/>
    <tableColumn id="22" name="Market Rate Conversion_x000a_(5 points max)" dataDxfId="33"/>
    <tableColumn id="23" name="Rehab Scope_x000a_(5 points max)" dataDxfId="32"/>
    <tableColumn id="24" name="Cost Efficiency_x000a_(5 points max)" dataDxfId="31"/>
    <tableColumn id="25" name="Total Points_x000a_(25 points max)" dataDxfId="30">
      <calculatedColumnFormula>SUM(M16:N16,MAX(O16:Q16),R16:S16)</calculatedColumnFormula>
    </tableColumn>
    <tableColumn id="26" name="LIHTC Awards Over Last 3 Years" dataDxfId="29"/>
    <tableColumn id="27" name="Units ≤ 30% AMI" dataDxfId="28"/>
    <tableColumn id="28" name="Severe Rent Burden" dataDxfId="27" dataCellStyle="Percent"/>
    <tableColumn id="35" name="Funding Result" dataDxfId="26"/>
    <tableColumn id="32" name="HDAP Request" dataDxfId="25"/>
    <tableColumn id="34" name="HDAP Reserved" dataDxfId="24">
      <calculatedColumnFormula>IF(Table2[[#This Row],[Funding Result]]="","",IF(LEFT(Table2[[#This Row],[Funding Result]],6)="Funded",Table2[[#This Row],[HDAP Request]],0))</calculatedColumnFormula>
    </tableColumn>
    <tableColumn id="40" name="HDL_x000a_Requested" dataDxfId="23"/>
    <tableColumn id="41" name="HDL_x000a_Awarded" dataDxfId="22">
      <calculatedColumnFormula>IF(Table2[[#This Row],[Funding Result]]="","",IF(LEFT(Table2[[#This Row],[Funding Result]],6)="Funded",Table2[[#This Row],[HDL
Requested]],0))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15:R25" totalsRowShown="0" headerRowDxfId="20" dataDxfId="18" headerRowBorderDxfId="19" tableBorderDxfId="17">
  <autoFilter ref="B15:R25">
    <filterColumn colId="12">
      <filters>
        <filter val="Funded - Passed Minimum Review"/>
      </filters>
    </filterColumn>
  </autoFilter>
  <sortState ref="B6:AJ18">
    <sortCondition ref="C5:C18"/>
  </sortState>
  <tableColumns count="17">
    <tableColumn id="1" name="OHFA Tracking Number" dataDxfId="16"/>
    <tableColumn id="2" name="Project Name" dataDxfId="15"/>
    <tableColumn id="11" name="Link to Proposal Summary" dataDxfId="14"/>
    <tableColumn id="4" name="City" dataDxfId="13"/>
    <tableColumn id="5" name="County" dataDxfId="12"/>
    <tableColumn id="39" name="HUD Participating Jurisdiction" dataDxfId="11">
      <calculatedColumnFormula>IF(SUM(IFERROR(IF(VLOOKUP(Table3[[#This Row],[City]],Data!$E$2:$E$16,1,FALSE)=Table3[[#This Row],[City]],1,0),0)+IFERROR(IF(VLOOKUP(Table3[[#This Row],[County]],Data!$G$2:$G$9,1,FALSE)=Table3[[#This Row],[County]],1,0),0))&gt;0,"Yes","No")</calculatedColumnFormula>
    </tableColumn>
    <tableColumn id="42" name="Appalachian County" dataDxfId="10">
      <calculatedColumnFormula>IFERROR(IF(VLOOKUP(Table3[[#This Row],[County]],Data!$C$2:$C$33,1,FALSE)=Table3[[#This Row],[County]],"Yes","No"),"No")</calculatedColumnFormula>
    </tableColumn>
    <tableColumn id="14" name="Geography" dataDxfId="9"/>
    <tableColumn id="6" name="Construction Type" dataDxfId="8"/>
    <tableColumn id="7" name="Population Served" dataDxfId="7"/>
    <tableColumn id="8" name="Total Units" dataDxfId="6"/>
    <tableColumn id="9" name="Lead Developer" dataDxfId="5"/>
    <tableColumn id="31" name="Funding Result" dataDxfId="4"/>
    <tableColumn id="34" name="Total HDAP Request" dataDxfId="3"/>
    <tableColumn id="36" name="HDAP Reserved" dataDxfId="2">
      <calculatedColumnFormula>IF(LEFT(Table3[[#This Row],[Funding Result]],10)="Not Funded",0,Table3[[#This Row],[Total HDAP Request]])</calculatedColumnFormula>
    </tableColumn>
    <tableColumn id="3" name="HDL Request" dataDxfId="1"/>
    <tableColumn id="10" name="HDL Reserved" dataDxfId="0">
      <calculatedColumnFormula>IF(LEFT(Table3[[#This Row],[Funding Result]],10)="Not Funded",0,Table3[[#This Row],[HDL Request]])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2/BGF/BrettonWoodsPhaseII.pdf" TargetMode="External"/><Relationship Id="rId13" Type="http://schemas.openxmlformats.org/officeDocument/2006/relationships/hyperlink" Target="https://ohiohome.org/ppd/proposals/2022/BGF/BlairLoftsII-LindsayLofts.pdf" TargetMode="External"/><Relationship Id="rId18" Type="http://schemas.openxmlformats.org/officeDocument/2006/relationships/hyperlink" Target="https://ohiohome.org/ppd/proposals/2022/BGF/W-25th-StreetApartments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hiohome.org/ppd/proposals/2022/BGF/GranvilleWoodsLofts.pdf" TargetMode="External"/><Relationship Id="rId21" Type="http://schemas.openxmlformats.org/officeDocument/2006/relationships/hyperlink" Target="https://ohiohome.org/ppd/proposals/2022/BGF/Warner-SwaseyII.pdf" TargetMode="External"/><Relationship Id="rId7" Type="http://schemas.openxmlformats.org/officeDocument/2006/relationships/hyperlink" Target="https://ohiohome.org/ppd/proposals/2022/BGF/GreatSouthernApartments.pdf" TargetMode="External"/><Relationship Id="rId12" Type="http://schemas.openxmlformats.org/officeDocument/2006/relationships/hyperlink" Target="https://ohiohome.org/ppd/proposals/2022/BGF/HunterTrace.pdf" TargetMode="External"/><Relationship Id="rId17" Type="http://schemas.openxmlformats.org/officeDocument/2006/relationships/hyperlink" Target="https://ohiohome.org/ppd/proposals/2022/BGF/LynetteGardensSeniorApartments.pdf" TargetMode="External"/><Relationship Id="rId25" Type="http://schemas.openxmlformats.org/officeDocument/2006/relationships/hyperlink" Target="https://ohiohome.org/ppd/proposals/2022/BGF/ArborviewFamily.pdf" TargetMode="External"/><Relationship Id="rId2" Type="http://schemas.openxmlformats.org/officeDocument/2006/relationships/hyperlink" Target="https://ohiohome.org/ppd/proposals/2022/BGF/CambridgeHouseApartmentsII.pdf" TargetMode="External"/><Relationship Id="rId16" Type="http://schemas.openxmlformats.org/officeDocument/2006/relationships/hyperlink" Target="https://ohiohome.org/ppd/proposals/2022/BGF/TheGrand-TheGlen.pdf" TargetMode="External"/><Relationship Id="rId20" Type="http://schemas.openxmlformats.org/officeDocument/2006/relationships/hyperlink" Target="https://ohiohome.org/ppd/proposals/2022/BGF/SeniorLoftsOnNorthMain.pdf" TargetMode="External"/><Relationship Id="rId1" Type="http://schemas.openxmlformats.org/officeDocument/2006/relationships/hyperlink" Target="https://ohiohome.org/ppd/proposals/2022/BGF/NCJC-DowntownCampus.pdf" TargetMode="External"/><Relationship Id="rId6" Type="http://schemas.openxmlformats.org/officeDocument/2006/relationships/hyperlink" Target="https://ohiohome.org/ppd/proposals/2022/BGF/NortonFamilyApartments.pdf" TargetMode="External"/><Relationship Id="rId11" Type="http://schemas.openxmlformats.org/officeDocument/2006/relationships/hyperlink" Target="https://ohiohome.org/ppd/proposals/2022/BGF/ZaneCommons.pdf" TargetMode="External"/><Relationship Id="rId24" Type="http://schemas.openxmlformats.org/officeDocument/2006/relationships/hyperlink" Target="https://ohiohome.org/ppd/proposals/2022/BGF/DorrStreetSenior.pdf" TargetMode="External"/><Relationship Id="rId5" Type="http://schemas.openxmlformats.org/officeDocument/2006/relationships/hyperlink" Target="https://ohiohome.org/ppd/proposals/2022/BGF/DeringFamilyHomes.pdf" TargetMode="External"/><Relationship Id="rId15" Type="http://schemas.openxmlformats.org/officeDocument/2006/relationships/hyperlink" Target="https://ohiohome.org/ppd/proposals/2022/BGF/LincolnGilbertFamilyII.pdf" TargetMode="External"/><Relationship Id="rId23" Type="http://schemas.openxmlformats.org/officeDocument/2006/relationships/hyperlink" Target="https://ohiohome.org/ppd/proposals/2022/BGF/KinshipFamilyHousing.pdf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https://ohiohome.org/ppd/proposals/2022/BGF/MunsonCrossing.pdf" TargetMode="External"/><Relationship Id="rId19" Type="http://schemas.openxmlformats.org/officeDocument/2006/relationships/hyperlink" Target="https://ohiohome.org/ppd/proposals/2022/BGF/LoftsOnNorthMain.pdf" TargetMode="External"/><Relationship Id="rId4" Type="http://schemas.openxmlformats.org/officeDocument/2006/relationships/hyperlink" Target="https://ohiohome.org/ppd/proposals/2022/BGF/GranvilleWoodsLoftsII.pdf" TargetMode="External"/><Relationship Id="rId9" Type="http://schemas.openxmlformats.org/officeDocument/2006/relationships/hyperlink" Target="https://ohiohome.org/ppd/proposals/2022/BGF/RobertFultonSchool.pdf" TargetMode="External"/><Relationship Id="rId14" Type="http://schemas.openxmlformats.org/officeDocument/2006/relationships/hyperlink" Target="https://ohiohome.org/ppd/proposals/2022/BGF/EastonPlaceHomesPhase3.pdf" TargetMode="External"/><Relationship Id="rId22" Type="http://schemas.openxmlformats.org/officeDocument/2006/relationships/hyperlink" Target="https://ohiohome.org/ppd/proposals/2022/BGF/HarrisonSeniorLofts.pdf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2/BGF/WestElmApartments.pdf" TargetMode="External"/><Relationship Id="rId13" Type="http://schemas.openxmlformats.org/officeDocument/2006/relationships/hyperlink" Target="https://ohiohome.org/ppd/proposals/2022/BGF/Beechwood.pdf" TargetMode="External"/><Relationship Id="rId18" Type="http://schemas.openxmlformats.org/officeDocument/2006/relationships/table" Target="../tables/table2.xml"/><Relationship Id="rId3" Type="http://schemas.openxmlformats.org/officeDocument/2006/relationships/hyperlink" Target="https://ohiohome.org/ppd/proposals/2022/BGF/RotaryCommons.pdf" TargetMode="External"/><Relationship Id="rId7" Type="http://schemas.openxmlformats.org/officeDocument/2006/relationships/hyperlink" Target="https://ohiohome.org/ppd/proposals/2022/BGF/FraminghamVillage.pdf" TargetMode="External"/><Relationship Id="rId12" Type="http://schemas.openxmlformats.org/officeDocument/2006/relationships/hyperlink" Target="https://ohiohome.org/ppd/proposals/2022/BGF/TerriManor.pdf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ohiohome.org/ppd/proposals/2022/BGF/PinehurstApartments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ohiohome.org/ppd/proposals/2022/BGF/SpringboroSherman.pdf" TargetMode="External"/><Relationship Id="rId6" Type="http://schemas.openxmlformats.org/officeDocument/2006/relationships/hyperlink" Target="https://ohiohome.org/ppd/proposals/2022/BGF/CountryRidgeApartments.pdf" TargetMode="External"/><Relationship Id="rId11" Type="http://schemas.openxmlformats.org/officeDocument/2006/relationships/hyperlink" Target="https://ohiohome.org/ppd/proposals/2022/BGF/NorthViewManor.pdf" TargetMode="External"/><Relationship Id="rId5" Type="http://schemas.openxmlformats.org/officeDocument/2006/relationships/hyperlink" Target="https://ohiohome.org/ppd/proposals/2022/BGF/NortonVillageApartments.pdf" TargetMode="External"/><Relationship Id="rId15" Type="http://schemas.openxmlformats.org/officeDocument/2006/relationships/hyperlink" Target="https://ohiohome.org/ppd/proposals/2022/BGF/SouthernHeightsPreservation.pdf" TargetMode="External"/><Relationship Id="rId10" Type="http://schemas.openxmlformats.org/officeDocument/2006/relationships/hyperlink" Target="https://ohiohome.org/ppd/proposals/2022/BGF/HuffmanPlace.pdf" TargetMode="External"/><Relationship Id="rId4" Type="http://schemas.openxmlformats.org/officeDocument/2006/relationships/hyperlink" Target="https://ohiohome.org/ppd/proposals/2022/BGF/StratfordPlace.pdf" TargetMode="External"/><Relationship Id="rId9" Type="http://schemas.openxmlformats.org/officeDocument/2006/relationships/hyperlink" Target="https://ohiohome.org/ppd/proposals/2022/BGF/MarionVillageApartments.pdf" TargetMode="External"/><Relationship Id="rId14" Type="http://schemas.openxmlformats.org/officeDocument/2006/relationships/hyperlink" Target="https://ohiohome.org/ppd/proposals/2022/BGF/WalnutGroveApartments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2/BGF/SeasonsGrove.pdf" TargetMode="External"/><Relationship Id="rId13" Type="http://schemas.openxmlformats.org/officeDocument/2006/relationships/table" Target="../tables/table3.xml"/><Relationship Id="rId3" Type="http://schemas.openxmlformats.org/officeDocument/2006/relationships/hyperlink" Target="https://ohiohome.org/ppd/proposals/2022/BGF/CedarRedevelopmentPhaseIV.pdf" TargetMode="External"/><Relationship Id="rId7" Type="http://schemas.openxmlformats.org/officeDocument/2006/relationships/hyperlink" Target="https://ohiohome.org/ppd/proposals/2022/BGF/RoseCommons.pdf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ohiohome.org/ppd/proposals/2022/BGF/CarthageFlats.pdf" TargetMode="External"/><Relationship Id="rId1" Type="http://schemas.openxmlformats.org/officeDocument/2006/relationships/hyperlink" Target="https://ohiohome.org/ppd/proposals/2022/BGF/BroadleighLofts.pdf" TargetMode="External"/><Relationship Id="rId6" Type="http://schemas.openxmlformats.org/officeDocument/2006/relationships/hyperlink" Target="https://ohiohome.org/ppd/proposals/2022/BGF/NelsonParkApartments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ohiohome.org/ppd/proposals/2022/BGF/HitchcockCenter.pdf" TargetMode="External"/><Relationship Id="rId10" Type="http://schemas.openxmlformats.org/officeDocument/2006/relationships/hyperlink" Target="https://ohiohome.org/ppd/proposals/2022/BGF/TurtleCreek.pdf" TargetMode="External"/><Relationship Id="rId4" Type="http://schemas.openxmlformats.org/officeDocument/2006/relationships/hyperlink" Target="https://ohiohome.org/ppd/proposals/2022/BGF/GeigerHouse-Veterans.pdf" TargetMode="External"/><Relationship Id="rId9" Type="http://schemas.openxmlformats.org/officeDocument/2006/relationships/hyperlink" Target="https://ohiohome.org/ppd/proposals/2022/BGF/SunriseHom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N120"/>
  <sheetViews>
    <sheetView tabSelected="1" zoomScale="90" zoomScaleNormal="90" zoomScaleSheetLayoutView="100" workbookViewId="0">
      <pane xSplit="3" topLeftCell="D1" activePane="topRight" state="frozen"/>
      <selection pane="topRight" activeCell="A43" sqref="A43"/>
    </sheetView>
  </sheetViews>
  <sheetFormatPr defaultColWidth="0" defaultRowHeight="0" customHeight="1" zeroHeight="1" x14ac:dyDescent="0.25"/>
  <cols>
    <col min="1" max="1" width="2.77734375" style="2" customWidth="1"/>
    <col min="2" max="2" width="13.109375" style="2" customWidth="1"/>
    <col min="3" max="3" width="41.6640625" style="2" bestFit="1" customWidth="1"/>
    <col min="4" max="4" width="12.77734375" style="2" customWidth="1"/>
    <col min="5" max="5" width="12.33203125" style="2" customWidth="1"/>
    <col min="6" max="8" width="13.88671875" style="2" customWidth="1"/>
    <col min="9" max="9" width="17" style="2" customWidth="1"/>
    <col min="10" max="10" width="19.88671875" style="2" customWidth="1"/>
    <col min="11" max="11" width="14.77734375" style="2" customWidth="1"/>
    <col min="12" max="12" width="9.77734375" style="3" customWidth="1"/>
    <col min="13" max="13" width="49.109375" style="2" bestFit="1" customWidth="1"/>
    <col min="14" max="14" width="16.33203125" style="2" customWidth="1"/>
    <col min="15" max="16" width="13.6640625" style="2" customWidth="1"/>
    <col min="17" max="17" width="16.88671875" style="2" customWidth="1"/>
    <col min="18" max="19" width="13.6640625" style="2" customWidth="1"/>
    <col min="20" max="20" width="15.33203125" style="2" bestFit="1" customWidth="1"/>
    <col min="21" max="21" width="14.44140625" style="2" customWidth="1"/>
    <col min="22" max="22" width="9.77734375" style="2" customWidth="1"/>
    <col min="23" max="23" width="9.77734375" style="105" customWidth="1"/>
    <col min="24" max="24" width="32.109375" style="2" bestFit="1" customWidth="1"/>
    <col min="25" max="27" width="15.77734375" style="2" customWidth="1"/>
    <col min="28" max="28" width="15.77734375" style="51" customWidth="1"/>
    <col min="29" max="29" width="2.77734375" style="2" customWidth="1"/>
    <col min="30" max="37" width="9.109375" style="2" hidden="1" customWidth="1"/>
    <col min="38" max="40" width="0" style="2" hidden="1" customWidth="1"/>
    <col min="41" max="16384" width="9.109375" style="2" hidden="1"/>
  </cols>
  <sheetData>
    <row r="1" spans="1:29" ht="15" customHeight="1" x14ac:dyDescent="0.25">
      <c r="A1" s="81"/>
      <c r="B1" s="81"/>
      <c r="C1" s="81"/>
      <c r="D1" s="81"/>
      <c r="E1" s="81"/>
      <c r="F1" s="1"/>
      <c r="G1" s="36"/>
      <c r="H1" s="36"/>
      <c r="I1" s="56"/>
      <c r="J1" s="1"/>
      <c r="K1" s="1"/>
      <c r="L1" s="17"/>
      <c r="M1" s="1"/>
      <c r="N1" s="1"/>
      <c r="O1" s="1"/>
      <c r="P1" s="1"/>
      <c r="Q1" s="1"/>
      <c r="R1" s="1"/>
      <c r="S1" s="1"/>
      <c r="T1" s="1"/>
      <c r="U1" s="1"/>
      <c r="V1" s="1"/>
      <c r="W1" s="102"/>
      <c r="X1" s="61"/>
      <c r="Y1" s="61"/>
      <c r="Z1" s="61"/>
      <c r="AA1" s="61"/>
      <c r="AB1" s="48"/>
      <c r="AC1" s="61"/>
    </row>
    <row r="2" spans="1:29" ht="15" customHeight="1" x14ac:dyDescent="0.25">
      <c r="A2" s="81"/>
      <c r="B2" s="81"/>
      <c r="C2" s="81"/>
      <c r="D2" s="81"/>
      <c r="E2" s="81"/>
      <c r="F2" s="61"/>
      <c r="G2" s="61"/>
      <c r="H2" s="61"/>
      <c r="I2" s="61"/>
      <c r="J2" s="61"/>
      <c r="K2" s="61"/>
      <c r="L2" s="17"/>
      <c r="M2" s="61"/>
      <c r="N2" s="61"/>
      <c r="O2" s="61"/>
      <c r="P2" s="61"/>
      <c r="Q2" s="61"/>
      <c r="R2" s="61"/>
      <c r="S2" s="61"/>
      <c r="T2" s="61"/>
      <c r="U2" s="61"/>
      <c r="V2" s="61"/>
      <c r="W2" s="102"/>
      <c r="X2" s="61"/>
      <c r="Y2" s="61"/>
      <c r="Z2" s="61"/>
      <c r="AA2" s="61"/>
      <c r="AB2" s="48"/>
      <c r="AC2" s="61"/>
    </row>
    <row r="3" spans="1:29" ht="15" customHeight="1" x14ac:dyDescent="0.25">
      <c r="A3" s="81"/>
      <c r="B3" s="81"/>
      <c r="C3" s="81"/>
      <c r="D3" s="81"/>
      <c r="E3" s="81"/>
      <c r="F3" s="61"/>
      <c r="G3" s="61"/>
      <c r="H3" s="61"/>
      <c r="I3" s="61"/>
      <c r="J3" s="61"/>
      <c r="K3" s="61"/>
      <c r="L3" s="17"/>
      <c r="M3" s="61"/>
      <c r="N3" s="61"/>
      <c r="O3" s="61"/>
      <c r="P3" s="61"/>
      <c r="Q3" s="61"/>
      <c r="R3" s="61"/>
      <c r="S3" s="61"/>
      <c r="T3" s="61"/>
      <c r="U3" s="61"/>
      <c r="V3" s="61"/>
      <c r="W3" s="102"/>
      <c r="X3" s="61"/>
      <c r="Y3" s="61"/>
      <c r="Z3" s="61"/>
      <c r="AA3" s="61"/>
      <c r="AB3" s="48"/>
      <c r="AC3" s="61"/>
    </row>
    <row r="4" spans="1:29" ht="21" customHeight="1" x14ac:dyDescent="0.25">
      <c r="A4" s="81"/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M4" s="78"/>
      <c r="N4" s="78"/>
      <c r="O4" s="78"/>
      <c r="P4" s="78"/>
      <c r="Q4" s="78"/>
      <c r="R4" s="78"/>
      <c r="S4" s="78"/>
      <c r="T4" s="78"/>
      <c r="U4" s="78"/>
      <c r="V4" s="78"/>
      <c r="W4" s="103"/>
      <c r="X4" s="78"/>
      <c r="Y4" s="78"/>
      <c r="Z4" s="78"/>
      <c r="AA4" s="78"/>
      <c r="AB4" s="80"/>
      <c r="AC4" s="61"/>
    </row>
    <row r="5" spans="1:29" ht="5.0999999999999996" customHeight="1" x14ac:dyDescent="0.25">
      <c r="A5" s="81"/>
      <c r="B5" s="61"/>
      <c r="C5" s="61"/>
      <c r="D5" s="61"/>
      <c r="E5" s="61"/>
      <c r="F5" s="61"/>
      <c r="G5" s="61"/>
      <c r="H5" s="61"/>
      <c r="I5" s="61"/>
      <c r="J5" s="61"/>
      <c r="K5" s="61"/>
      <c r="L5" s="17"/>
      <c r="M5" s="61"/>
      <c r="N5" s="61"/>
      <c r="O5" s="61"/>
      <c r="P5" s="61"/>
      <c r="Q5" s="61"/>
      <c r="R5" s="61"/>
      <c r="S5" s="61"/>
      <c r="T5" s="61"/>
      <c r="U5" s="61"/>
      <c r="V5" s="61"/>
      <c r="W5" s="102"/>
      <c r="X5" s="61"/>
      <c r="Y5" s="61"/>
      <c r="Z5" s="61"/>
      <c r="AA5" s="61"/>
      <c r="AB5" s="48"/>
      <c r="AC5" s="61"/>
    </row>
    <row r="6" spans="1:29" ht="15" customHeight="1" x14ac:dyDescent="0.25">
      <c r="A6" s="81"/>
      <c r="B6" s="61"/>
      <c r="C6" s="61"/>
      <c r="D6" s="61"/>
      <c r="E6" s="61"/>
      <c r="F6" s="61"/>
      <c r="G6" s="61"/>
      <c r="H6" s="61"/>
      <c r="I6" s="61"/>
      <c r="J6" s="61"/>
      <c r="K6" s="61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102"/>
      <c r="X6" s="61"/>
      <c r="Y6" s="61"/>
      <c r="Z6" s="61"/>
      <c r="AA6" s="61"/>
      <c r="AB6" s="48"/>
      <c r="AC6" s="61"/>
    </row>
    <row r="7" spans="1:29" ht="15" customHeight="1" x14ac:dyDescent="0.25">
      <c r="A7" s="81"/>
      <c r="B7" s="61"/>
      <c r="C7" s="61"/>
      <c r="D7" s="61"/>
      <c r="E7" s="61"/>
      <c r="F7" s="61"/>
      <c r="G7" s="61"/>
      <c r="H7" s="61"/>
      <c r="I7" s="61"/>
      <c r="J7" s="61"/>
      <c r="K7" s="61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102"/>
      <c r="X7" s="61"/>
      <c r="Y7" s="61"/>
      <c r="Z7" s="61"/>
      <c r="AA7" s="61"/>
      <c r="AB7" s="48"/>
      <c r="AC7" s="61"/>
    </row>
    <row r="8" spans="1:29" ht="15" customHeight="1" x14ac:dyDescent="0.25">
      <c r="A8" s="81"/>
      <c r="B8" s="122" t="s">
        <v>271</v>
      </c>
      <c r="C8" s="122"/>
      <c r="D8" s="122"/>
      <c r="E8" s="122"/>
      <c r="F8" s="122"/>
      <c r="G8" s="61"/>
      <c r="H8" s="61"/>
      <c r="I8" s="61"/>
      <c r="J8" s="61"/>
      <c r="K8" s="61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102"/>
      <c r="X8" s="61"/>
      <c r="Y8" s="61"/>
      <c r="Z8" s="61"/>
      <c r="AA8" s="61"/>
      <c r="AB8" s="48"/>
      <c r="AC8" s="61"/>
    </row>
    <row r="9" spans="1:29" ht="1.95" customHeight="1" x14ac:dyDescent="0.25">
      <c r="A9" s="81"/>
      <c r="B9" s="123"/>
      <c r="C9" s="123"/>
      <c r="D9" s="123"/>
      <c r="E9" s="123"/>
      <c r="F9" s="123"/>
      <c r="G9" s="61"/>
      <c r="H9" s="61"/>
      <c r="I9" s="61"/>
      <c r="J9" s="61"/>
      <c r="K9" s="61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102"/>
      <c r="X9" s="61"/>
      <c r="Y9" s="61"/>
      <c r="Z9" s="61"/>
      <c r="AA9" s="61"/>
      <c r="AB9" s="48"/>
      <c r="AC9" s="61"/>
    </row>
    <row r="10" spans="1:29" ht="15" customHeight="1" x14ac:dyDescent="0.25">
      <c r="A10" s="81"/>
      <c r="B10" s="124" t="s">
        <v>256</v>
      </c>
      <c r="C10" s="124"/>
      <c r="D10" s="124"/>
      <c r="E10" s="124"/>
      <c r="F10" s="124"/>
      <c r="G10" s="61"/>
      <c r="H10" s="61"/>
      <c r="I10" s="61"/>
      <c r="J10" s="61"/>
      <c r="K10" s="61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102"/>
      <c r="X10" s="61"/>
      <c r="Y10" s="61"/>
      <c r="Z10" s="61"/>
      <c r="AA10" s="61"/>
      <c r="AB10" s="48"/>
      <c r="AC10" s="61"/>
    </row>
    <row r="11" spans="1:29" ht="15" customHeight="1" x14ac:dyDescent="0.25">
      <c r="A11" s="8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17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102"/>
      <c r="X11" s="61"/>
      <c r="Y11" s="61"/>
      <c r="Z11" s="61"/>
      <c r="AA11" s="61"/>
      <c r="AB11" s="48"/>
      <c r="AC11" s="61"/>
    </row>
    <row r="12" spans="1:29" s="85" customFormat="1" ht="15" customHeight="1" x14ac:dyDescent="0.3">
      <c r="A12" s="82"/>
      <c r="B12" s="119" t="s">
        <v>189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 t="s">
        <v>190</v>
      </c>
      <c r="O12" s="119"/>
      <c r="P12" s="119"/>
      <c r="Q12" s="119"/>
      <c r="R12" s="119"/>
      <c r="S12" s="119"/>
      <c r="T12" s="119"/>
      <c r="U12" s="119" t="s">
        <v>202</v>
      </c>
      <c r="V12" s="119"/>
      <c r="W12" s="119"/>
      <c r="X12" s="125" t="s">
        <v>255</v>
      </c>
      <c r="Y12" s="125"/>
      <c r="Z12" s="125"/>
      <c r="AA12" s="83"/>
      <c r="AB12" s="84"/>
      <c r="AC12" s="83"/>
    </row>
    <row r="13" spans="1:29" ht="5.0999999999999996" customHeight="1" x14ac:dyDescent="0.25">
      <c r="A13" s="61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20"/>
      <c r="O13" s="120"/>
      <c r="P13" s="120"/>
      <c r="Q13" s="120"/>
      <c r="R13" s="120"/>
      <c r="S13" s="120"/>
      <c r="T13" s="120"/>
      <c r="U13" s="121"/>
      <c r="V13" s="121"/>
      <c r="W13" s="121"/>
      <c r="X13" s="117"/>
      <c r="Y13" s="117"/>
      <c r="Z13" s="117"/>
      <c r="AA13" s="117"/>
      <c r="AB13" s="117"/>
      <c r="AC13" s="61"/>
    </row>
    <row r="14" spans="1:29" ht="5.0999999999999996" customHeight="1" x14ac:dyDescent="0.25">
      <c r="A14" s="61"/>
      <c r="B14" s="1"/>
      <c r="C14" s="1"/>
      <c r="D14" s="61"/>
      <c r="E14" s="1"/>
      <c r="F14" s="1"/>
      <c r="G14" s="36"/>
      <c r="H14" s="36"/>
      <c r="I14" s="56"/>
      <c r="J14" s="1"/>
      <c r="K14" s="1"/>
      <c r="L14" s="17"/>
      <c r="M14" s="1"/>
      <c r="N14" s="1"/>
      <c r="O14" s="1"/>
      <c r="P14" s="1"/>
      <c r="Q14" s="1"/>
      <c r="R14" s="1"/>
      <c r="S14" s="1"/>
      <c r="T14" s="1"/>
      <c r="U14" s="1"/>
      <c r="V14" s="61"/>
      <c r="W14" s="102"/>
      <c r="X14" s="61"/>
      <c r="Y14" s="61"/>
      <c r="Z14" s="61"/>
      <c r="AA14" s="61"/>
      <c r="AB14" s="48"/>
      <c r="AC14" s="61"/>
    </row>
    <row r="15" spans="1:29" s="25" customFormat="1" ht="60" customHeight="1" x14ac:dyDescent="0.25">
      <c r="B15" s="19" t="s">
        <v>0</v>
      </c>
      <c r="C15" s="4" t="s">
        <v>1</v>
      </c>
      <c r="D15" s="4" t="s">
        <v>260</v>
      </c>
      <c r="E15" s="4" t="s">
        <v>2</v>
      </c>
      <c r="F15" s="4" t="s">
        <v>3</v>
      </c>
      <c r="G15" s="4" t="s">
        <v>254</v>
      </c>
      <c r="H15" s="4" t="s">
        <v>258</v>
      </c>
      <c r="I15" s="4" t="s">
        <v>194</v>
      </c>
      <c r="J15" s="4" t="s">
        <v>4</v>
      </c>
      <c r="K15" s="4" t="s">
        <v>5</v>
      </c>
      <c r="L15" s="8" t="s">
        <v>6</v>
      </c>
      <c r="M15" s="4" t="s">
        <v>7</v>
      </c>
      <c r="N15" s="9" t="s">
        <v>179</v>
      </c>
      <c r="O15" s="9" t="s">
        <v>180</v>
      </c>
      <c r="P15" s="98" t="s">
        <v>268</v>
      </c>
      <c r="Q15" s="98" t="s">
        <v>269</v>
      </c>
      <c r="R15" s="9" t="s">
        <v>181</v>
      </c>
      <c r="S15" s="9" t="s">
        <v>182</v>
      </c>
      <c r="T15" s="9" t="s">
        <v>186</v>
      </c>
      <c r="U15" s="4" t="s">
        <v>188</v>
      </c>
      <c r="V15" s="4" t="s">
        <v>187</v>
      </c>
      <c r="W15" s="104" t="s">
        <v>270</v>
      </c>
      <c r="X15" s="4" t="s">
        <v>203</v>
      </c>
      <c r="Y15" s="4" t="s">
        <v>178</v>
      </c>
      <c r="Z15" s="4" t="s">
        <v>204</v>
      </c>
      <c r="AA15" s="68" t="s">
        <v>8</v>
      </c>
      <c r="AB15" s="68" t="s">
        <v>263</v>
      </c>
    </row>
    <row r="16" spans="1:29" s="61" customFormat="1" ht="15" customHeight="1" x14ac:dyDescent="0.25">
      <c r="B16" s="28" t="s">
        <v>83</v>
      </c>
      <c r="C16" s="26" t="s">
        <v>49</v>
      </c>
      <c r="D16" s="115" t="s">
        <v>261</v>
      </c>
      <c r="E16" s="26" t="s">
        <v>22</v>
      </c>
      <c r="F16" s="26" t="s">
        <v>20</v>
      </c>
      <c r="G16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16" s="26" t="str">
        <f>IFERROR(IF(VLOOKUP(Table1[[#This Row],[County]],Data!$C$2:$C$33,1,FALSE)=Table1[[#This Row],[County]],"Yes","No"),"No")</f>
        <v>No</v>
      </c>
      <c r="I16" s="26" t="s">
        <v>195</v>
      </c>
      <c r="J16" s="26" t="s">
        <v>9</v>
      </c>
      <c r="K16" s="26" t="s">
        <v>10</v>
      </c>
      <c r="L16" s="27">
        <v>120</v>
      </c>
      <c r="M16" s="26" t="s">
        <v>50</v>
      </c>
      <c r="N16" s="10">
        <v>5</v>
      </c>
      <c r="O16" s="10">
        <v>5</v>
      </c>
      <c r="P16" s="10">
        <v>5</v>
      </c>
      <c r="Q16" s="10">
        <v>0</v>
      </c>
      <c r="R16" s="10">
        <v>3</v>
      </c>
      <c r="S16" s="10">
        <v>5</v>
      </c>
      <c r="T16" s="63">
        <f t="shared" ref="T16:T40" si="0">SUM(N16:O16,MAX(P16:Q16),R16:S16)</f>
        <v>23</v>
      </c>
      <c r="U16" s="15">
        <v>0</v>
      </c>
      <c r="V16" s="15">
        <v>24</v>
      </c>
      <c r="W16" s="16">
        <v>0.219</v>
      </c>
      <c r="X16" s="39" t="s">
        <v>205</v>
      </c>
      <c r="Y16" s="62">
        <v>4500000</v>
      </c>
      <c r="Z16" s="52">
        <f>IF(Table1[[#This Row],[Funding Result]]="","",IF(LEFT(Table1[[#This Row],[Funding Result]],6)="Funded",Table1[[#This Row],[HDAP Request]],0))</f>
        <v>4500000</v>
      </c>
      <c r="AA16" s="18">
        <v>2000000</v>
      </c>
      <c r="AB16" s="69">
        <f>IF(Table1[[#This Row],[Funding Result]]="","",IF(LEFT(Table1[[#This Row],[Funding Result]],6)="Funded",Table1[[#This Row],[HDL
Requested]],0))</f>
        <v>2000000</v>
      </c>
    </row>
    <row r="17" spans="2:28" s="61" customFormat="1" ht="15" customHeight="1" x14ac:dyDescent="0.25">
      <c r="B17" s="28" t="s">
        <v>61</v>
      </c>
      <c r="C17" s="26" t="s">
        <v>108</v>
      </c>
      <c r="D17" s="115" t="s">
        <v>261</v>
      </c>
      <c r="E17" s="26" t="s">
        <v>41</v>
      </c>
      <c r="F17" s="26" t="s">
        <v>42</v>
      </c>
      <c r="G17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17" s="26" t="str">
        <f>IFERROR(IF(VLOOKUP(Table1[[#This Row],[County]],Data!$C$2:$C$33,1,FALSE)=Table1[[#This Row],[County]],"Yes","No"),"No")</f>
        <v>No</v>
      </c>
      <c r="I17" s="26" t="s">
        <v>195</v>
      </c>
      <c r="J17" s="26" t="s">
        <v>9</v>
      </c>
      <c r="K17" s="26" t="s">
        <v>10</v>
      </c>
      <c r="L17" s="27">
        <v>54</v>
      </c>
      <c r="M17" s="26" t="s">
        <v>164</v>
      </c>
      <c r="N17" s="10">
        <v>3</v>
      </c>
      <c r="O17" s="10">
        <v>5</v>
      </c>
      <c r="P17" s="10">
        <v>5</v>
      </c>
      <c r="Q17" s="10">
        <v>0</v>
      </c>
      <c r="R17" s="10">
        <v>5</v>
      </c>
      <c r="S17" s="10">
        <v>5</v>
      </c>
      <c r="T17" s="63">
        <f t="shared" si="0"/>
        <v>23</v>
      </c>
      <c r="U17" s="15">
        <v>0</v>
      </c>
      <c r="V17" s="15">
        <v>19</v>
      </c>
      <c r="W17" s="16">
        <v>0.23200000000000001</v>
      </c>
      <c r="X17" s="39" t="s">
        <v>205</v>
      </c>
      <c r="Y17" s="62">
        <v>2350000</v>
      </c>
      <c r="Z17" s="52">
        <f>IF(Table1[[#This Row],[Funding Result]]="","",IF(LEFT(Table1[[#This Row],[Funding Result]],6)="Funded",Table1[[#This Row],[HDAP Request]],0))</f>
        <v>2350000</v>
      </c>
      <c r="AA17" s="18">
        <v>2000000</v>
      </c>
      <c r="AB17" s="69">
        <f>IF(Table1[[#This Row],[Funding Result]]="","",IF(LEFT(Table1[[#This Row],[Funding Result]],6)="Funded",Table1[[#This Row],[HDL
Requested]],0))</f>
        <v>2000000</v>
      </c>
    </row>
    <row r="18" spans="2:28" s="61" customFormat="1" ht="15" customHeight="1" x14ac:dyDescent="0.25">
      <c r="B18" s="28" t="s">
        <v>71</v>
      </c>
      <c r="C18" s="26" t="s">
        <v>115</v>
      </c>
      <c r="D18" s="115" t="s">
        <v>261</v>
      </c>
      <c r="E18" s="26" t="s">
        <v>22</v>
      </c>
      <c r="F18" s="26" t="s">
        <v>20</v>
      </c>
      <c r="G18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18" s="26" t="str">
        <f>IFERROR(IF(VLOOKUP(Table1[[#This Row],[County]],Data!$C$2:$C$33,1,FALSE)=Table1[[#This Row],[County]],"Yes","No"),"No")</f>
        <v>No</v>
      </c>
      <c r="I18" s="26" t="s">
        <v>195</v>
      </c>
      <c r="J18" s="26" t="s">
        <v>9</v>
      </c>
      <c r="K18" s="26" t="s">
        <v>10</v>
      </c>
      <c r="L18" s="27">
        <v>58</v>
      </c>
      <c r="M18" s="26" t="s">
        <v>44</v>
      </c>
      <c r="N18" s="10">
        <v>3</v>
      </c>
      <c r="O18" s="10">
        <v>5</v>
      </c>
      <c r="P18" s="10">
        <v>5</v>
      </c>
      <c r="Q18" s="10">
        <v>0</v>
      </c>
      <c r="R18" s="10">
        <v>5</v>
      </c>
      <c r="S18" s="10">
        <v>5</v>
      </c>
      <c r="T18" s="63">
        <f t="shared" si="0"/>
        <v>23</v>
      </c>
      <c r="U18" s="15">
        <v>0</v>
      </c>
      <c r="V18" s="15">
        <v>12</v>
      </c>
      <c r="W18" s="16">
        <v>0.219</v>
      </c>
      <c r="X18" s="39" t="s">
        <v>210</v>
      </c>
      <c r="Y18" s="62">
        <v>2600000</v>
      </c>
      <c r="Z18" s="52">
        <f>IF(Table1[[#This Row],[Funding Result]]="","",IF(LEFT(Table1[[#This Row],[Funding Result]],6)="Funded",Table1[[#This Row],[HDAP Request]],0))</f>
        <v>0</v>
      </c>
      <c r="AA18" s="18">
        <v>2000000</v>
      </c>
      <c r="AB18" s="69">
        <f>IF(Table1[[#This Row],[Funding Result]]="","",IF(LEFT(Table1[[#This Row],[Funding Result]],6)="Funded",Table1[[#This Row],[HDL
Requested]],0))</f>
        <v>0</v>
      </c>
    </row>
    <row r="19" spans="2:28" s="61" customFormat="1" ht="15" customHeight="1" x14ac:dyDescent="0.25">
      <c r="B19" s="28" t="s">
        <v>70</v>
      </c>
      <c r="C19" s="26" t="s">
        <v>116</v>
      </c>
      <c r="D19" s="115" t="s">
        <v>261</v>
      </c>
      <c r="E19" s="26" t="s">
        <v>22</v>
      </c>
      <c r="F19" s="26" t="s">
        <v>20</v>
      </c>
      <c r="G19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19" s="26" t="str">
        <f>IFERROR(IF(VLOOKUP(Table1[[#This Row],[County]],Data!$C$2:$C$33,1,FALSE)=Table1[[#This Row],[County]],"Yes","No"),"No")</f>
        <v>No</v>
      </c>
      <c r="I19" s="26" t="s">
        <v>195</v>
      </c>
      <c r="J19" s="26" t="s">
        <v>9</v>
      </c>
      <c r="K19" s="26" t="s">
        <v>10</v>
      </c>
      <c r="L19" s="27">
        <v>60</v>
      </c>
      <c r="M19" s="26" t="s">
        <v>44</v>
      </c>
      <c r="N19" s="10">
        <v>3</v>
      </c>
      <c r="O19" s="10">
        <v>5</v>
      </c>
      <c r="P19" s="10">
        <v>5</v>
      </c>
      <c r="Q19" s="10">
        <v>0</v>
      </c>
      <c r="R19" s="10">
        <v>5</v>
      </c>
      <c r="S19" s="10">
        <v>5</v>
      </c>
      <c r="T19" s="63">
        <f t="shared" si="0"/>
        <v>23</v>
      </c>
      <c r="U19" s="15">
        <v>0</v>
      </c>
      <c r="V19" s="15">
        <v>12</v>
      </c>
      <c r="W19" s="16">
        <v>0.219</v>
      </c>
      <c r="X19" s="39" t="s">
        <v>205</v>
      </c>
      <c r="Y19" s="62">
        <v>3000000</v>
      </c>
      <c r="Z19" s="52">
        <f>IF(Table1[[#This Row],[Funding Result]]="","",IF(LEFT(Table1[[#This Row],[Funding Result]],6)="Funded",Table1[[#This Row],[HDAP Request]],0))</f>
        <v>3000000</v>
      </c>
      <c r="AA19" s="18">
        <v>2000000</v>
      </c>
      <c r="AB19" s="69">
        <f>IF(Table1[[#This Row],[Funding Result]]="","",IF(LEFT(Table1[[#This Row],[Funding Result]],6)="Funded",Table1[[#This Row],[HDL
Requested]],0))</f>
        <v>2000000</v>
      </c>
    </row>
    <row r="20" spans="2:28" s="61" customFormat="1" ht="15" customHeight="1" x14ac:dyDescent="0.25">
      <c r="B20" s="28" t="s">
        <v>65</v>
      </c>
      <c r="C20" s="26" t="s">
        <v>111</v>
      </c>
      <c r="D20" s="115" t="s">
        <v>261</v>
      </c>
      <c r="E20" s="26" t="s">
        <v>22</v>
      </c>
      <c r="F20" s="26" t="s">
        <v>20</v>
      </c>
      <c r="G20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0" s="26" t="str">
        <f>IFERROR(IF(VLOOKUP(Table1[[#This Row],[County]],Data!$C$2:$C$33,1,FALSE)=Table1[[#This Row],[County]],"Yes","No"),"No")</f>
        <v>No</v>
      </c>
      <c r="I20" s="26" t="s">
        <v>196</v>
      </c>
      <c r="J20" s="26" t="s">
        <v>9</v>
      </c>
      <c r="K20" s="26" t="s">
        <v>10</v>
      </c>
      <c r="L20" s="27">
        <v>245</v>
      </c>
      <c r="M20" s="26" t="s">
        <v>32</v>
      </c>
      <c r="N20" s="10">
        <v>3</v>
      </c>
      <c r="O20" s="10">
        <v>5</v>
      </c>
      <c r="P20" s="10">
        <v>4</v>
      </c>
      <c r="Q20" s="10">
        <v>0</v>
      </c>
      <c r="R20" s="10">
        <v>5</v>
      </c>
      <c r="S20" s="10">
        <v>5</v>
      </c>
      <c r="T20" s="63">
        <f t="shared" si="0"/>
        <v>22</v>
      </c>
      <c r="U20" s="15">
        <v>0</v>
      </c>
      <c r="V20" s="15">
        <v>51</v>
      </c>
      <c r="W20" s="16">
        <v>0.219</v>
      </c>
      <c r="X20" s="39" t="s">
        <v>205</v>
      </c>
      <c r="Y20" s="62">
        <v>4500000</v>
      </c>
      <c r="Z20" s="52">
        <f>IF(Table1[[#This Row],[Funding Result]]="","",IF(LEFT(Table1[[#This Row],[Funding Result]],6)="Funded",Table1[[#This Row],[HDAP Request]],0))</f>
        <v>4500000</v>
      </c>
      <c r="AA20" s="18">
        <v>2000000</v>
      </c>
      <c r="AB20" s="69">
        <f>IF(Table1[[#This Row],[Funding Result]]="","",IF(LEFT(Table1[[#This Row],[Funding Result]],6)="Funded",Table1[[#This Row],[HDL
Requested]],0))</f>
        <v>2000000</v>
      </c>
    </row>
    <row r="21" spans="2:28" s="61" customFormat="1" ht="15" customHeight="1" x14ac:dyDescent="0.25">
      <c r="B21" s="28" t="s">
        <v>86</v>
      </c>
      <c r="C21" s="26" t="s">
        <v>128</v>
      </c>
      <c r="D21" s="115" t="s">
        <v>261</v>
      </c>
      <c r="E21" s="26" t="s">
        <v>22</v>
      </c>
      <c r="F21" s="26" t="s">
        <v>20</v>
      </c>
      <c r="G21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1" s="26" t="str">
        <f>IFERROR(IF(VLOOKUP(Table1[[#This Row],[County]],Data!$C$2:$C$33,1,FALSE)=Table1[[#This Row],[County]],"Yes","No"),"No")</f>
        <v>No</v>
      </c>
      <c r="I21" s="26" t="s">
        <v>196</v>
      </c>
      <c r="J21" s="26" t="s">
        <v>9</v>
      </c>
      <c r="K21" s="26" t="s">
        <v>10</v>
      </c>
      <c r="L21" s="27">
        <v>154</v>
      </c>
      <c r="M21" s="26" t="s">
        <v>32</v>
      </c>
      <c r="N21" s="10">
        <v>3</v>
      </c>
      <c r="O21" s="10">
        <v>5</v>
      </c>
      <c r="P21" s="10">
        <v>4</v>
      </c>
      <c r="Q21" s="10">
        <v>0</v>
      </c>
      <c r="R21" s="10">
        <v>5</v>
      </c>
      <c r="S21" s="10">
        <v>5</v>
      </c>
      <c r="T21" s="63">
        <f t="shared" si="0"/>
        <v>22</v>
      </c>
      <c r="U21" s="15">
        <v>0</v>
      </c>
      <c r="V21" s="15">
        <v>31</v>
      </c>
      <c r="W21" s="16">
        <v>0.219</v>
      </c>
      <c r="X21" s="39" t="s">
        <v>209</v>
      </c>
      <c r="Y21" s="62">
        <v>4500000</v>
      </c>
      <c r="Z21" s="52">
        <f>IF(Table1[[#This Row],[Funding Result]]="","",IF(LEFT(Table1[[#This Row],[Funding Result]],6)="Funded",Table1[[#This Row],[HDAP Request]],0))</f>
        <v>0</v>
      </c>
      <c r="AA21" s="18">
        <v>2000000</v>
      </c>
      <c r="AB21" s="69">
        <f>IF(Table1[[#This Row],[Funding Result]]="","",IF(LEFT(Table1[[#This Row],[Funding Result]],6)="Funded",Table1[[#This Row],[HDL
Requested]],0))</f>
        <v>0</v>
      </c>
    </row>
    <row r="22" spans="2:28" s="61" customFormat="1" ht="15" customHeight="1" x14ac:dyDescent="0.25">
      <c r="B22" s="28" t="s">
        <v>72</v>
      </c>
      <c r="C22" s="26" t="s">
        <v>117</v>
      </c>
      <c r="D22" s="115" t="s">
        <v>261</v>
      </c>
      <c r="E22" s="26" t="s">
        <v>22</v>
      </c>
      <c r="F22" s="26" t="s">
        <v>20</v>
      </c>
      <c r="G22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2" s="26" t="str">
        <f>IFERROR(IF(VLOOKUP(Table1[[#This Row],[County]],Data!$C$2:$C$33,1,FALSE)=Table1[[#This Row],[County]],"Yes","No"),"No")</f>
        <v>No</v>
      </c>
      <c r="I22" s="26" t="s">
        <v>196</v>
      </c>
      <c r="J22" s="26" t="s">
        <v>9</v>
      </c>
      <c r="K22" s="26" t="s">
        <v>10</v>
      </c>
      <c r="L22" s="27">
        <v>200</v>
      </c>
      <c r="M22" s="26" t="s">
        <v>167</v>
      </c>
      <c r="N22" s="10">
        <v>3</v>
      </c>
      <c r="O22" s="10">
        <v>5</v>
      </c>
      <c r="P22" s="10">
        <v>4</v>
      </c>
      <c r="Q22" s="10">
        <v>0</v>
      </c>
      <c r="R22" s="10">
        <v>5</v>
      </c>
      <c r="S22" s="10">
        <v>5</v>
      </c>
      <c r="T22" s="63">
        <f t="shared" si="0"/>
        <v>22</v>
      </c>
      <c r="U22" s="15">
        <v>1</v>
      </c>
      <c r="V22" s="15">
        <v>40</v>
      </c>
      <c r="W22" s="16">
        <v>0.219</v>
      </c>
      <c r="X22" s="39" t="s">
        <v>209</v>
      </c>
      <c r="Y22" s="62">
        <v>4500000</v>
      </c>
      <c r="Z22" s="52">
        <f>IF(Table1[[#This Row],[Funding Result]]="","",IF(LEFT(Table1[[#This Row],[Funding Result]],6)="Funded",Table1[[#This Row],[HDAP Request]],0))</f>
        <v>0</v>
      </c>
      <c r="AA22" s="18">
        <v>2000000</v>
      </c>
      <c r="AB22" s="69">
        <f>IF(Table1[[#This Row],[Funding Result]]="","",IF(LEFT(Table1[[#This Row],[Funding Result]],6)="Funded",Table1[[#This Row],[HDL
Requested]],0))</f>
        <v>0</v>
      </c>
    </row>
    <row r="23" spans="2:28" s="61" customFormat="1" ht="15" customHeight="1" x14ac:dyDescent="0.25">
      <c r="B23" s="28" t="s">
        <v>59</v>
      </c>
      <c r="C23" s="26" t="s">
        <v>21</v>
      </c>
      <c r="D23" s="115" t="s">
        <v>261</v>
      </c>
      <c r="E23" s="26" t="s">
        <v>22</v>
      </c>
      <c r="F23" s="26" t="s">
        <v>20</v>
      </c>
      <c r="G23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3" s="26" t="str">
        <f>IFERROR(IF(VLOOKUP(Table1[[#This Row],[County]],Data!$C$2:$C$33,1,FALSE)=Table1[[#This Row],[County]],"Yes","No"),"No")</f>
        <v>No</v>
      </c>
      <c r="I23" s="26" t="s">
        <v>196</v>
      </c>
      <c r="J23" s="26" t="s">
        <v>9</v>
      </c>
      <c r="K23" s="26" t="s">
        <v>17</v>
      </c>
      <c r="L23" s="27">
        <v>60</v>
      </c>
      <c r="M23" s="26" t="s">
        <v>18</v>
      </c>
      <c r="N23" s="10">
        <v>3</v>
      </c>
      <c r="O23" s="10">
        <v>5</v>
      </c>
      <c r="P23" s="10">
        <v>4</v>
      </c>
      <c r="Q23" s="10">
        <v>0</v>
      </c>
      <c r="R23" s="10">
        <v>5</v>
      </c>
      <c r="S23" s="10">
        <v>5</v>
      </c>
      <c r="T23" s="63">
        <f t="shared" si="0"/>
        <v>22</v>
      </c>
      <c r="U23" s="15">
        <v>1</v>
      </c>
      <c r="V23" s="15">
        <v>12</v>
      </c>
      <c r="W23" s="16">
        <v>0.219</v>
      </c>
      <c r="X23" s="39" t="s">
        <v>209</v>
      </c>
      <c r="Y23" s="62">
        <v>3000000</v>
      </c>
      <c r="Z23" s="52">
        <f>IF(Table1[[#This Row],[Funding Result]]="","",IF(LEFT(Table1[[#This Row],[Funding Result]],6)="Funded",Table1[[#This Row],[HDAP Request]],0))</f>
        <v>0</v>
      </c>
      <c r="AA23" s="18">
        <v>0</v>
      </c>
      <c r="AB23" s="69">
        <f>IF(Table1[[#This Row],[Funding Result]]="","",IF(LEFT(Table1[[#This Row],[Funding Result]],6)="Funded",Table1[[#This Row],[HDL
Requested]],0))</f>
        <v>0</v>
      </c>
    </row>
    <row r="24" spans="2:28" s="61" customFormat="1" ht="15" customHeight="1" x14ac:dyDescent="0.25">
      <c r="B24" s="28" t="s">
        <v>89</v>
      </c>
      <c r="C24" s="26" t="s">
        <v>129</v>
      </c>
      <c r="D24" s="115" t="s">
        <v>261</v>
      </c>
      <c r="E24" s="26" t="s">
        <v>11</v>
      </c>
      <c r="F24" s="26" t="s">
        <v>12</v>
      </c>
      <c r="G24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4" s="26" t="str">
        <f>IFERROR(IF(VLOOKUP(Table1[[#This Row],[County]],Data!$C$2:$C$33,1,FALSE)=Table1[[#This Row],[County]],"Yes","No"),"No")</f>
        <v>No</v>
      </c>
      <c r="I24" s="26" t="s">
        <v>195</v>
      </c>
      <c r="J24" s="26" t="s">
        <v>9</v>
      </c>
      <c r="K24" s="26" t="s">
        <v>10</v>
      </c>
      <c r="L24" s="27">
        <v>96</v>
      </c>
      <c r="M24" s="26" t="s">
        <v>171</v>
      </c>
      <c r="N24" s="10">
        <v>3</v>
      </c>
      <c r="O24" s="10">
        <v>5</v>
      </c>
      <c r="P24" s="10">
        <v>5</v>
      </c>
      <c r="Q24" s="10">
        <v>0</v>
      </c>
      <c r="R24" s="10">
        <v>3</v>
      </c>
      <c r="S24" s="10">
        <v>5</v>
      </c>
      <c r="T24" s="63">
        <f t="shared" si="0"/>
        <v>21</v>
      </c>
      <c r="U24" s="15">
        <v>0</v>
      </c>
      <c r="V24" s="15">
        <v>20</v>
      </c>
      <c r="W24" s="16">
        <v>0.26200000000000001</v>
      </c>
      <c r="X24" s="39" t="s">
        <v>209</v>
      </c>
      <c r="Y24" s="62">
        <v>3840000</v>
      </c>
      <c r="Z24" s="52">
        <f>IF(Table1[[#This Row],[Funding Result]]="","",IF(LEFT(Table1[[#This Row],[Funding Result]],6)="Funded",Table1[[#This Row],[HDAP Request]],0))</f>
        <v>0</v>
      </c>
      <c r="AA24" s="18">
        <v>2000000</v>
      </c>
      <c r="AB24" s="69">
        <f>IF(Table1[[#This Row],[Funding Result]]="","",IF(LEFT(Table1[[#This Row],[Funding Result]],6)="Funded",Table1[[#This Row],[HDL
Requested]],0))</f>
        <v>0</v>
      </c>
    </row>
    <row r="25" spans="2:28" s="61" customFormat="1" ht="15.6" customHeight="1" x14ac:dyDescent="0.25">
      <c r="B25" s="28" t="s">
        <v>82</v>
      </c>
      <c r="C25" s="26" t="s">
        <v>125</v>
      </c>
      <c r="D25" s="115" t="s">
        <v>261</v>
      </c>
      <c r="E25" s="26" t="s">
        <v>152</v>
      </c>
      <c r="F25" s="26" t="s">
        <v>33</v>
      </c>
      <c r="G25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No</v>
      </c>
      <c r="H25" s="26" t="str">
        <f>IFERROR(IF(VLOOKUP(Table1[[#This Row],[County]],Data!$C$2:$C$33,1,FALSE)=Table1[[#This Row],[County]],"Yes","No"),"No")</f>
        <v>Yes</v>
      </c>
      <c r="I25" s="26" t="s">
        <v>197</v>
      </c>
      <c r="J25" s="26" t="s">
        <v>9</v>
      </c>
      <c r="K25" s="26" t="s">
        <v>10</v>
      </c>
      <c r="L25" s="27">
        <v>43</v>
      </c>
      <c r="M25" s="26" t="s">
        <v>44</v>
      </c>
      <c r="N25" s="10">
        <v>4</v>
      </c>
      <c r="O25" s="10">
        <v>5</v>
      </c>
      <c r="P25" s="10">
        <v>0</v>
      </c>
      <c r="Q25" s="10">
        <v>5</v>
      </c>
      <c r="R25" s="10">
        <v>3</v>
      </c>
      <c r="S25" s="10">
        <v>2</v>
      </c>
      <c r="T25" s="63">
        <f t="shared" si="0"/>
        <v>19</v>
      </c>
      <c r="U25" s="15">
        <v>0</v>
      </c>
      <c r="V25" s="15">
        <v>10</v>
      </c>
      <c r="W25" s="16">
        <v>0.24099999999999999</v>
      </c>
      <c r="X25" s="39" t="s">
        <v>206</v>
      </c>
      <c r="Y25" s="62">
        <v>5000000</v>
      </c>
      <c r="Z25" s="52">
        <f>IF(Table1[[#This Row],[Funding Result]]="","",IF(LEFT(Table1[[#This Row],[Funding Result]],6)="Funded",Table1[[#This Row],[HDAP Request]],0))</f>
        <v>5000000</v>
      </c>
      <c r="AA25" s="18">
        <v>2000000</v>
      </c>
      <c r="AB25" s="69">
        <f>IF(Table1[[#This Row],[Funding Result]]="","",IF(LEFT(Table1[[#This Row],[Funding Result]],6)="Funded",Table1[[#This Row],[HDL
Requested]],0))</f>
        <v>2000000</v>
      </c>
    </row>
    <row r="26" spans="2:28" s="61" customFormat="1" ht="13.8" x14ac:dyDescent="0.25">
      <c r="B26" s="28" t="s">
        <v>103</v>
      </c>
      <c r="C26" s="26" t="s">
        <v>144</v>
      </c>
      <c r="D26" s="115" t="s">
        <v>261</v>
      </c>
      <c r="E26" s="26" t="s">
        <v>152</v>
      </c>
      <c r="F26" s="26" t="s">
        <v>33</v>
      </c>
      <c r="G26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No</v>
      </c>
      <c r="H26" s="26" t="str">
        <f>IFERROR(IF(VLOOKUP(Table1[[#This Row],[County]],Data!$C$2:$C$33,1,FALSE)=Table1[[#This Row],[County]],"Yes","No"),"No")</f>
        <v>Yes</v>
      </c>
      <c r="I26" s="26" t="s">
        <v>197</v>
      </c>
      <c r="J26" s="26" t="s">
        <v>9</v>
      </c>
      <c r="K26" s="26" t="s">
        <v>10</v>
      </c>
      <c r="L26" s="27">
        <v>44</v>
      </c>
      <c r="M26" s="26" t="s">
        <v>34</v>
      </c>
      <c r="N26" s="10">
        <v>4</v>
      </c>
      <c r="O26" s="10">
        <v>5</v>
      </c>
      <c r="P26" s="10">
        <v>0</v>
      </c>
      <c r="Q26" s="10">
        <v>5</v>
      </c>
      <c r="R26" s="10">
        <v>3</v>
      </c>
      <c r="S26" s="10">
        <v>2</v>
      </c>
      <c r="T26" s="63">
        <f t="shared" si="0"/>
        <v>19</v>
      </c>
      <c r="U26" s="15">
        <v>0</v>
      </c>
      <c r="V26" s="15">
        <v>9</v>
      </c>
      <c r="W26" s="16">
        <v>0.24099999999999999</v>
      </c>
      <c r="X26" s="39" t="s">
        <v>206</v>
      </c>
      <c r="Y26" s="62">
        <v>5000000</v>
      </c>
      <c r="Z26" s="52">
        <f>IF(Table1[[#This Row],[Funding Result]]="","",IF(LEFT(Table1[[#This Row],[Funding Result]],6)="Funded",Table1[[#This Row],[HDAP Request]],0))</f>
        <v>5000000</v>
      </c>
      <c r="AA26" s="18">
        <v>2000000</v>
      </c>
      <c r="AB26" s="69">
        <f>IF(Table1[[#This Row],[Funding Result]]="","",IF(LEFT(Table1[[#This Row],[Funding Result]],6)="Funded",Table1[[#This Row],[HDL
Requested]],0))</f>
        <v>2000000</v>
      </c>
    </row>
    <row r="27" spans="2:28" s="61" customFormat="1" ht="15" customHeight="1" x14ac:dyDescent="0.25">
      <c r="B27" s="28" t="s">
        <v>76</v>
      </c>
      <c r="C27" s="26" t="s">
        <v>120</v>
      </c>
      <c r="D27" s="115" t="s">
        <v>261</v>
      </c>
      <c r="E27" s="26" t="s">
        <v>35</v>
      </c>
      <c r="F27" s="26" t="s">
        <v>36</v>
      </c>
      <c r="G27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No</v>
      </c>
      <c r="H27" s="26" t="str">
        <f>IFERROR(IF(VLOOKUP(Table1[[#This Row],[County]],Data!$C$2:$C$33,1,FALSE)=Table1[[#This Row],[County]],"Yes","No"),"No")</f>
        <v>No</v>
      </c>
      <c r="I27" s="26" t="s">
        <v>197</v>
      </c>
      <c r="J27" s="26" t="s">
        <v>9</v>
      </c>
      <c r="K27" s="26" t="s">
        <v>17</v>
      </c>
      <c r="L27" s="27">
        <v>46</v>
      </c>
      <c r="M27" s="26" t="s">
        <v>39</v>
      </c>
      <c r="N27" s="10">
        <v>3</v>
      </c>
      <c r="O27" s="10">
        <v>5</v>
      </c>
      <c r="P27" s="10">
        <v>0</v>
      </c>
      <c r="Q27" s="10">
        <v>5</v>
      </c>
      <c r="R27" s="10">
        <v>3</v>
      </c>
      <c r="S27" s="10">
        <v>2</v>
      </c>
      <c r="T27" s="63">
        <f t="shared" si="0"/>
        <v>18</v>
      </c>
      <c r="U27" s="15">
        <v>0</v>
      </c>
      <c r="V27" s="15">
        <v>7</v>
      </c>
      <c r="W27" s="16">
        <v>0.21299999999999999</v>
      </c>
      <c r="X27" s="39" t="s">
        <v>209</v>
      </c>
      <c r="Y27" s="62">
        <v>4500000</v>
      </c>
      <c r="Z27" s="52">
        <f>IF(Table1[[#This Row],[Funding Result]]="","",IF(LEFT(Table1[[#This Row],[Funding Result]],6)="Funded",Table1[[#This Row],[HDAP Request]],0))</f>
        <v>0</v>
      </c>
      <c r="AA27" s="18">
        <v>2000000</v>
      </c>
      <c r="AB27" s="69">
        <f>IF(Table1[[#This Row],[Funding Result]]="","",IF(LEFT(Table1[[#This Row],[Funding Result]],6)="Funded",Table1[[#This Row],[HDL
Requested]],0))</f>
        <v>0</v>
      </c>
    </row>
    <row r="28" spans="2:28" s="61" customFormat="1" ht="13.8" x14ac:dyDescent="0.25">
      <c r="B28" s="28" t="s">
        <v>58</v>
      </c>
      <c r="C28" s="26" t="s">
        <v>106</v>
      </c>
      <c r="D28" s="115" t="s">
        <v>261</v>
      </c>
      <c r="E28" s="26" t="s">
        <v>149</v>
      </c>
      <c r="F28" s="26" t="s">
        <v>27</v>
      </c>
      <c r="G28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8" s="26" t="str">
        <f>IFERROR(IF(VLOOKUP(Table1[[#This Row],[County]],Data!$C$2:$C$33,1,FALSE)=Table1[[#This Row],[County]],"Yes","No"),"No")</f>
        <v>No</v>
      </c>
      <c r="I28" s="26" t="s">
        <v>195</v>
      </c>
      <c r="J28" s="26" t="s">
        <v>9</v>
      </c>
      <c r="K28" s="26" t="s">
        <v>10</v>
      </c>
      <c r="L28" s="27">
        <v>84</v>
      </c>
      <c r="M28" s="26" t="s">
        <v>40</v>
      </c>
      <c r="N28" s="10">
        <v>3</v>
      </c>
      <c r="O28" s="10">
        <v>5</v>
      </c>
      <c r="P28" s="10">
        <v>5</v>
      </c>
      <c r="Q28" s="10">
        <v>0</v>
      </c>
      <c r="R28" s="10">
        <v>3</v>
      </c>
      <c r="S28" s="10">
        <v>2</v>
      </c>
      <c r="T28" s="63">
        <f t="shared" si="0"/>
        <v>18</v>
      </c>
      <c r="U28" s="15">
        <v>1</v>
      </c>
      <c r="V28" s="15">
        <v>17</v>
      </c>
      <c r="W28" s="16">
        <v>0.24199999999999999</v>
      </c>
      <c r="X28" s="39" t="s">
        <v>209</v>
      </c>
      <c r="Y28" s="62">
        <v>4500000</v>
      </c>
      <c r="Z28" s="52">
        <f>IF(Table1[[#This Row],[Funding Result]]="","",IF(LEFT(Table1[[#This Row],[Funding Result]],6)="Funded",Table1[[#This Row],[HDAP Request]],0))</f>
        <v>0</v>
      </c>
      <c r="AA28" s="18">
        <v>0</v>
      </c>
      <c r="AB28" s="69">
        <f>IF(Table1[[#This Row],[Funding Result]]="","",IF(LEFT(Table1[[#This Row],[Funding Result]],6)="Funded",Table1[[#This Row],[HDL
Requested]],0))</f>
        <v>0</v>
      </c>
    </row>
    <row r="29" spans="2:28" s="61" customFormat="1" ht="15" customHeight="1" x14ac:dyDescent="0.25">
      <c r="B29" s="28" t="s">
        <v>67</v>
      </c>
      <c r="C29" s="26" t="s">
        <v>38</v>
      </c>
      <c r="D29" s="115" t="s">
        <v>261</v>
      </c>
      <c r="E29" s="26" t="s">
        <v>22</v>
      </c>
      <c r="F29" s="26" t="s">
        <v>20</v>
      </c>
      <c r="G29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29" s="26" t="str">
        <f>IFERROR(IF(VLOOKUP(Table1[[#This Row],[County]],Data!$C$2:$C$33,1,FALSE)=Table1[[#This Row],[County]],"Yes","No"),"No")</f>
        <v>No</v>
      </c>
      <c r="I29" s="26" t="s">
        <v>196</v>
      </c>
      <c r="J29" s="26" t="s">
        <v>9</v>
      </c>
      <c r="K29" s="26" t="s">
        <v>10</v>
      </c>
      <c r="L29" s="27">
        <v>50</v>
      </c>
      <c r="M29" s="26" t="s">
        <v>31</v>
      </c>
      <c r="N29" s="10">
        <v>5</v>
      </c>
      <c r="O29" s="10">
        <v>5</v>
      </c>
      <c r="P29" s="10">
        <v>5</v>
      </c>
      <c r="Q29" s="10">
        <v>0</v>
      </c>
      <c r="R29" s="10">
        <v>0</v>
      </c>
      <c r="S29" s="10">
        <v>3</v>
      </c>
      <c r="T29" s="63">
        <f t="shared" si="0"/>
        <v>18</v>
      </c>
      <c r="U29" s="15">
        <v>2</v>
      </c>
      <c r="V29" s="15">
        <v>10</v>
      </c>
      <c r="W29" s="16">
        <v>0.219</v>
      </c>
      <c r="X29" s="39" t="s">
        <v>209</v>
      </c>
      <c r="Y29" s="62">
        <v>3000000</v>
      </c>
      <c r="Z29" s="52">
        <f>IF(Table1[[#This Row],[Funding Result]]="","",IF(LEFT(Table1[[#This Row],[Funding Result]],6)="Funded",Table1[[#This Row],[HDAP Request]],0))</f>
        <v>0</v>
      </c>
      <c r="AA29" s="18">
        <v>2000000</v>
      </c>
      <c r="AB29" s="69">
        <f>IF(Table1[[#This Row],[Funding Result]]="","",IF(LEFT(Table1[[#This Row],[Funding Result]],6)="Funded",Table1[[#This Row],[HDL
Requested]],0))</f>
        <v>0</v>
      </c>
    </row>
    <row r="30" spans="2:28" s="61" customFormat="1" ht="15" customHeight="1" x14ac:dyDescent="0.25">
      <c r="B30" s="28" t="s">
        <v>78</v>
      </c>
      <c r="C30" s="26" t="s">
        <v>122</v>
      </c>
      <c r="D30" s="115" t="s">
        <v>261</v>
      </c>
      <c r="E30" s="26" t="s">
        <v>26</v>
      </c>
      <c r="F30" s="26" t="s">
        <v>27</v>
      </c>
      <c r="G30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0" s="26" t="str">
        <f>IFERROR(IF(VLOOKUP(Table1[[#This Row],[County]],Data!$C$2:$C$33,1,FALSE)=Table1[[#This Row],[County]],"Yes","No"),"No")</f>
        <v>No</v>
      </c>
      <c r="I30" s="26" t="s">
        <v>195</v>
      </c>
      <c r="J30" s="26" t="s">
        <v>9</v>
      </c>
      <c r="K30" s="26" t="s">
        <v>10</v>
      </c>
      <c r="L30" s="27">
        <v>36</v>
      </c>
      <c r="M30" s="26" t="s">
        <v>30</v>
      </c>
      <c r="N30" s="10">
        <v>4</v>
      </c>
      <c r="O30" s="10">
        <v>5</v>
      </c>
      <c r="P30" s="10">
        <v>5</v>
      </c>
      <c r="Q30" s="10">
        <v>0</v>
      </c>
      <c r="R30" s="10">
        <v>0</v>
      </c>
      <c r="S30" s="10">
        <v>2</v>
      </c>
      <c r="T30" s="63">
        <f t="shared" si="0"/>
        <v>16</v>
      </c>
      <c r="U30" s="15">
        <v>2</v>
      </c>
      <c r="V30" s="15">
        <v>8</v>
      </c>
      <c r="W30" s="16">
        <v>0.24199999999999999</v>
      </c>
      <c r="X30" s="39" t="s">
        <v>209</v>
      </c>
      <c r="Y30" s="62">
        <v>3852789</v>
      </c>
      <c r="Z30" s="52">
        <f>IF(Table1[[#This Row],[Funding Result]]="","",IF(LEFT(Table1[[#This Row],[Funding Result]],6)="Funded",Table1[[#This Row],[HDAP Request]],0))</f>
        <v>0</v>
      </c>
      <c r="AA30" s="18">
        <v>2000000</v>
      </c>
      <c r="AB30" s="69">
        <f>IF(Table1[[#This Row],[Funding Result]]="","",IF(LEFT(Table1[[#This Row],[Funding Result]],6)="Funded",Table1[[#This Row],[HDL
Requested]],0))</f>
        <v>0</v>
      </c>
    </row>
    <row r="31" spans="2:28" s="61" customFormat="1" ht="15" customHeight="1" x14ac:dyDescent="0.25">
      <c r="B31" s="28" t="s">
        <v>98</v>
      </c>
      <c r="C31" s="26" t="s">
        <v>139</v>
      </c>
      <c r="D31" s="115" t="s">
        <v>261</v>
      </c>
      <c r="E31" s="26" t="s">
        <v>15</v>
      </c>
      <c r="F31" s="26" t="s">
        <v>16</v>
      </c>
      <c r="G31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1" s="26" t="str">
        <f>IFERROR(IF(VLOOKUP(Table1[[#This Row],[County]],Data!$C$2:$C$33,1,FALSE)=Table1[[#This Row],[County]],"Yes","No"),"No")</f>
        <v>No</v>
      </c>
      <c r="I31" s="26" t="s">
        <v>195</v>
      </c>
      <c r="J31" s="26" t="s">
        <v>9</v>
      </c>
      <c r="K31" s="26" t="s">
        <v>10</v>
      </c>
      <c r="L31" s="27">
        <v>90</v>
      </c>
      <c r="M31" s="26" t="s">
        <v>40</v>
      </c>
      <c r="N31" s="10">
        <v>3</v>
      </c>
      <c r="O31" s="10">
        <v>5</v>
      </c>
      <c r="P31" s="10">
        <v>4</v>
      </c>
      <c r="Q31" s="10">
        <v>0</v>
      </c>
      <c r="R31" s="10">
        <v>0</v>
      </c>
      <c r="S31" s="10">
        <v>3</v>
      </c>
      <c r="T31" s="63">
        <f t="shared" si="0"/>
        <v>15</v>
      </c>
      <c r="U31" s="15">
        <v>0</v>
      </c>
      <c r="V31" s="15">
        <v>18</v>
      </c>
      <c r="W31" s="16">
        <v>0.249</v>
      </c>
      <c r="X31" s="39" t="s">
        <v>209</v>
      </c>
      <c r="Y31" s="62">
        <v>4500000</v>
      </c>
      <c r="Z31" s="52">
        <f>IF(Table1[[#This Row],[Funding Result]]="","",IF(LEFT(Table1[[#This Row],[Funding Result]],6)="Funded",Table1[[#This Row],[HDAP Request]],0))</f>
        <v>0</v>
      </c>
      <c r="AA31" s="18">
        <v>0</v>
      </c>
      <c r="AB31" s="69">
        <f>IF(Table1[[#This Row],[Funding Result]]="","",IF(LEFT(Table1[[#This Row],[Funding Result]],6)="Funded",Table1[[#This Row],[HDL
Requested]],0))</f>
        <v>0</v>
      </c>
    </row>
    <row r="32" spans="2:28" s="61" customFormat="1" ht="15" customHeight="1" x14ac:dyDescent="0.25">
      <c r="B32" s="28" t="s">
        <v>80</v>
      </c>
      <c r="C32" s="26" t="s">
        <v>46</v>
      </c>
      <c r="D32" s="115" t="s">
        <v>261</v>
      </c>
      <c r="E32" s="26" t="s">
        <v>11</v>
      </c>
      <c r="F32" s="26" t="s">
        <v>12</v>
      </c>
      <c r="G32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2" s="26" t="str">
        <f>IFERROR(IF(VLOOKUP(Table1[[#This Row],[County]],Data!$C$2:$C$33,1,FALSE)=Table1[[#This Row],[County]],"Yes","No"),"No")</f>
        <v>No</v>
      </c>
      <c r="I32" s="26" t="s">
        <v>195</v>
      </c>
      <c r="J32" s="26" t="s">
        <v>9</v>
      </c>
      <c r="K32" s="26" t="s">
        <v>17</v>
      </c>
      <c r="L32" s="27">
        <v>56</v>
      </c>
      <c r="M32" s="26" t="s">
        <v>47</v>
      </c>
      <c r="N32" s="10">
        <v>3</v>
      </c>
      <c r="O32" s="10">
        <v>5</v>
      </c>
      <c r="P32" s="10">
        <v>5</v>
      </c>
      <c r="Q32" s="10">
        <v>0</v>
      </c>
      <c r="R32" s="10">
        <v>0</v>
      </c>
      <c r="S32" s="10">
        <v>2</v>
      </c>
      <c r="T32" s="63">
        <f t="shared" si="0"/>
        <v>15</v>
      </c>
      <c r="U32" s="15">
        <v>1</v>
      </c>
      <c r="V32" s="15">
        <v>12</v>
      </c>
      <c r="W32" s="16">
        <v>0.26200000000000001</v>
      </c>
      <c r="X32" s="39" t="s">
        <v>209</v>
      </c>
      <c r="Y32" s="62">
        <v>4500000</v>
      </c>
      <c r="Z32" s="52">
        <f>IF(Table1[[#This Row],[Funding Result]]="","",IF(LEFT(Table1[[#This Row],[Funding Result]],6)="Funded",Table1[[#This Row],[HDAP Request]],0))</f>
        <v>0</v>
      </c>
      <c r="AA32" s="18">
        <v>0</v>
      </c>
      <c r="AB32" s="69">
        <f>IF(Table1[[#This Row],[Funding Result]]="","",IF(LEFT(Table1[[#This Row],[Funding Result]],6)="Funded",Table1[[#This Row],[HDL
Requested]],0))</f>
        <v>0</v>
      </c>
    </row>
    <row r="33" spans="1:29" s="61" customFormat="1" ht="15" customHeight="1" x14ac:dyDescent="0.25">
      <c r="B33" s="28" t="s">
        <v>100</v>
      </c>
      <c r="C33" s="26" t="s">
        <v>141</v>
      </c>
      <c r="D33" s="115" t="s">
        <v>261</v>
      </c>
      <c r="E33" s="26" t="s">
        <v>11</v>
      </c>
      <c r="F33" s="26" t="s">
        <v>12</v>
      </c>
      <c r="G33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3" s="26" t="str">
        <f>IFERROR(IF(VLOOKUP(Table1[[#This Row],[County]],Data!$C$2:$C$33,1,FALSE)=Table1[[#This Row],[County]],"Yes","No"),"No")</f>
        <v>No</v>
      </c>
      <c r="I33" s="26" t="s">
        <v>195</v>
      </c>
      <c r="J33" s="26" t="s">
        <v>9</v>
      </c>
      <c r="K33" s="26" t="s">
        <v>10</v>
      </c>
      <c r="L33" s="27">
        <v>60</v>
      </c>
      <c r="M33" s="26" t="s">
        <v>13</v>
      </c>
      <c r="N33" s="10">
        <v>3</v>
      </c>
      <c r="O33" s="10">
        <v>5</v>
      </c>
      <c r="P33" s="10">
        <v>5</v>
      </c>
      <c r="Q33" s="10">
        <v>0</v>
      </c>
      <c r="R33" s="10">
        <v>0</v>
      </c>
      <c r="S33" s="10">
        <v>2</v>
      </c>
      <c r="T33" s="63">
        <f t="shared" si="0"/>
        <v>15</v>
      </c>
      <c r="U33" s="15">
        <v>1</v>
      </c>
      <c r="V33" s="15">
        <v>12</v>
      </c>
      <c r="W33" s="16">
        <v>0.26200000000000001</v>
      </c>
      <c r="X33" s="39" t="s">
        <v>209</v>
      </c>
      <c r="Y33" s="62">
        <v>4500000</v>
      </c>
      <c r="Z33" s="52">
        <f>IF(Table1[[#This Row],[Funding Result]]="","",IF(LEFT(Table1[[#This Row],[Funding Result]],6)="Funded",Table1[[#This Row],[HDAP Request]],0))</f>
        <v>0</v>
      </c>
      <c r="AA33" s="18">
        <v>1250000</v>
      </c>
      <c r="AB33" s="69">
        <f>IF(Table1[[#This Row],[Funding Result]]="","",IF(LEFT(Table1[[#This Row],[Funding Result]],6)="Funded",Table1[[#This Row],[HDL
Requested]],0))</f>
        <v>0</v>
      </c>
    </row>
    <row r="34" spans="1:29" s="61" customFormat="1" ht="15" customHeight="1" x14ac:dyDescent="0.25">
      <c r="B34" s="28" t="s">
        <v>79</v>
      </c>
      <c r="C34" s="26" t="s">
        <v>123</v>
      </c>
      <c r="D34" s="115" t="s">
        <v>261</v>
      </c>
      <c r="E34" s="26" t="s">
        <v>41</v>
      </c>
      <c r="F34" s="26" t="s">
        <v>42</v>
      </c>
      <c r="G34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4" s="26" t="str">
        <f>IFERROR(IF(VLOOKUP(Table1[[#This Row],[County]],Data!$C$2:$C$33,1,FALSE)=Table1[[#This Row],[County]],"Yes","No"),"No")</f>
        <v>No</v>
      </c>
      <c r="I34" s="26" t="s">
        <v>195</v>
      </c>
      <c r="J34" s="26" t="s">
        <v>9</v>
      </c>
      <c r="K34" s="26" t="s">
        <v>10</v>
      </c>
      <c r="L34" s="27">
        <v>50</v>
      </c>
      <c r="M34" s="26" t="s">
        <v>168</v>
      </c>
      <c r="N34" s="10">
        <v>3</v>
      </c>
      <c r="O34" s="10">
        <v>5</v>
      </c>
      <c r="P34" s="10">
        <v>5</v>
      </c>
      <c r="Q34" s="10">
        <v>0</v>
      </c>
      <c r="R34" s="10">
        <v>0</v>
      </c>
      <c r="S34" s="10">
        <v>2</v>
      </c>
      <c r="T34" s="63">
        <f t="shared" si="0"/>
        <v>15</v>
      </c>
      <c r="U34" s="15">
        <v>1</v>
      </c>
      <c r="V34" s="15">
        <v>10</v>
      </c>
      <c r="W34" s="16">
        <v>0.23200000000000001</v>
      </c>
      <c r="X34" s="39" t="s">
        <v>209</v>
      </c>
      <c r="Y34" s="62">
        <v>4500000</v>
      </c>
      <c r="Z34" s="52">
        <f>IF(Table1[[#This Row],[Funding Result]]="","",IF(LEFT(Table1[[#This Row],[Funding Result]],6)="Funded",Table1[[#This Row],[HDAP Request]],0))</f>
        <v>0</v>
      </c>
      <c r="AA34" s="18">
        <v>2000000</v>
      </c>
      <c r="AB34" s="69">
        <f>IF(Table1[[#This Row],[Funding Result]]="","",IF(LEFT(Table1[[#This Row],[Funding Result]],6)="Funded",Table1[[#This Row],[HDL
Requested]],0))</f>
        <v>0</v>
      </c>
    </row>
    <row r="35" spans="1:29" s="61" customFormat="1" ht="15" customHeight="1" x14ac:dyDescent="0.25">
      <c r="B35" s="28" t="s">
        <v>93</v>
      </c>
      <c r="C35" s="26" t="s">
        <v>133</v>
      </c>
      <c r="D35" s="115" t="s">
        <v>261</v>
      </c>
      <c r="E35" s="26" t="s">
        <v>41</v>
      </c>
      <c r="F35" s="26" t="s">
        <v>42</v>
      </c>
      <c r="G35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5" s="26" t="str">
        <f>IFERROR(IF(VLOOKUP(Table1[[#This Row],[County]],Data!$C$2:$C$33,1,FALSE)=Table1[[#This Row],[County]],"Yes","No"),"No")</f>
        <v>No</v>
      </c>
      <c r="I35" s="26" t="s">
        <v>195</v>
      </c>
      <c r="J35" s="26" t="s">
        <v>9</v>
      </c>
      <c r="K35" s="26" t="s">
        <v>17</v>
      </c>
      <c r="L35" s="27">
        <v>50</v>
      </c>
      <c r="M35" s="26" t="s">
        <v>168</v>
      </c>
      <c r="N35" s="10">
        <v>3</v>
      </c>
      <c r="O35" s="10">
        <v>5</v>
      </c>
      <c r="P35" s="10">
        <v>5</v>
      </c>
      <c r="Q35" s="10">
        <v>0</v>
      </c>
      <c r="R35" s="10">
        <v>0</v>
      </c>
      <c r="S35" s="10">
        <v>2</v>
      </c>
      <c r="T35" s="63">
        <f t="shared" si="0"/>
        <v>15</v>
      </c>
      <c r="U35" s="15">
        <v>1</v>
      </c>
      <c r="V35" s="15">
        <v>10</v>
      </c>
      <c r="W35" s="16">
        <v>0.23200000000000001</v>
      </c>
      <c r="X35" s="39" t="s">
        <v>209</v>
      </c>
      <c r="Y35" s="62">
        <v>4500000</v>
      </c>
      <c r="Z35" s="52">
        <f>IF(Table1[[#This Row],[Funding Result]]="","",IF(LEFT(Table1[[#This Row],[Funding Result]],6)="Funded",Table1[[#This Row],[HDAP Request]],0))</f>
        <v>0</v>
      </c>
      <c r="AA35" s="18">
        <v>2000000</v>
      </c>
      <c r="AB35" s="69">
        <f>IF(Table1[[#This Row],[Funding Result]]="","",IF(LEFT(Table1[[#This Row],[Funding Result]],6)="Funded",Table1[[#This Row],[HDL
Requested]],0))</f>
        <v>0</v>
      </c>
    </row>
    <row r="36" spans="1:29" s="61" customFormat="1" ht="15" customHeight="1" x14ac:dyDescent="0.25">
      <c r="B36" s="28" t="s">
        <v>101</v>
      </c>
      <c r="C36" s="26" t="s">
        <v>55</v>
      </c>
      <c r="D36" s="115" t="s">
        <v>261</v>
      </c>
      <c r="E36" s="26" t="s">
        <v>11</v>
      </c>
      <c r="F36" s="26" t="s">
        <v>12</v>
      </c>
      <c r="G36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6" s="26" t="str">
        <f>IFERROR(IF(VLOOKUP(Table1[[#This Row],[County]],Data!$C$2:$C$33,1,FALSE)=Table1[[#This Row],[County]],"Yes","No"),"No")</f>
        <v>No</v>
      </c>
      <c r="I36" s="26" t="s">
        <v>195</v>
      </c>
      <c r="J36" s="26" t="s">
        <v>19</v>
      </c>
      <c r="K36" s="26" t="s">
        <v>10</v>
      </c>
      <c r="L36" s="27">
        <v>56</v>
      </c>
      <c r="M36" s="26" t="s">
        <v>30</v>
      </c>
      <c r="N36" s="10">
        <v>3</v>
      </c>
      <c r="O36" s="10">
        <v>5</v>
      </c>
      <c r="P36" s="10">
        <v>5</v>
      </c>
      <c r="Q36" s="10">
        <v>0</v>
      </c>
      <c r="R36" s="10">
        <v>0</v>
      </c>
      <c r="S36" s="10">
        <v>2</v>
      </c>
      <c r="T36" s="63">
        <f t="shared" si="0"/>
        <v>15</v>
      </c>
      <c r="U36" s="15">
        <v>3</v>
      </c>
      <c r="V36" s="15">
        <v>14</v>
      </c>
      <c r="W36" s="16">
        <v>0.26200000000000001</v>
      </c>
      <c r="X36" s="39" t="s">
        <v>209</v>
      </c>
      <c r="Y36" s="62">
        <v>4500000</v>
      </c>
      <c r="Z36" s="52">
        <f>IF(Table1[[#This Row],[Funding Result]]="","",IF(LEFT(Table1[[#This Row],[Funding Result]],6)="Funded",Table1[[#This Row],[HDAP Request]],0))</f>
        <v>0</v>
      </c>
      <c r="AA36" s="18">
        <v>2000000</v>
      </c>
      <c r="AB36" s="69">
        <f>IF(Table1[[#This Row],[Funding Result]]="","",IF(LEFT(Table1[[#This Row],[Funding Result]],6)="Funded",Table1[[#This Row],[HDL
Requested]],0))</f>
        <v>0</v>
      </c>
    </row>
    <row r="37" spans="1:29" s="61" customFormat="1" ht="15" customHeight="1" x14ac:dyDescent="0.25">
      <c r="B37" s="28" t="s">
        <v>73</v>
      </c>
      <c r="C37" s="26" t="s">
        <v>118</v>
      </c>
      <c r="D37" s="115" t="s">
        <v>261</v>
      </c>
      <c r="E37" s="26" t="s">
        <v>41</v>
      </c>
      <c r="F37" s="26" t="s">
        <v>42</v>
      </c>
      <c r="G37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7" s="26" t="str">
        <f>IFERROR(IF(VLOOKUP(Table1[[#This Row],[County]],Data!$C$2:$C$33,1,FALSE)=Table1[[#This Row],[County]],"Yes","No"),"No")</f>
        <v>No</v>
      </c>
      <c r="I37" s="26" t="s">
        <v>196</v>
      </c>
      <c r="J37" s="26" t="s">
        <v>9</v>
      </c>
      <c r="K37" s="26" t="s">
        <v>17</v>
      </c>
      <c r="L37" s="27">
        <v>50</v>
      </c>
      <c r="M37" s="26" t="s">
        <v>168</v>
      </c>
      <c r="N37" s="10">
        <v>3</v>
      </c>
      <c r="O37" s="10">
        <v>5</v>
      </c>
      <c r="P37" s="10">
        <v>4</v>
      </c>
      <c r="Q37" s="10">
        <v>0</v>
      </c>
      <c r="R37" s="10">
        <v>0</v>
      </c>
      <c r="S37" s="10">
        <v>2</v>
      </c>
      <c r="T37" s="63">
        <f t="shared" si="0"/>
        <v>14</v>
      </c>
      <c r="U37" s="15">
        <v>0</v>
      </c>
      <c r="V37" s="15">
        <v>10</v>
      </c>
      <c r="W37" s="16">
        <v>0.23200000000000001</v>
      </c>
      <c r="X37" s="39" t="s">
        <v>209</v>
      </c>
      <c r="Y37" s="62">
        <v>4500000</v>
      </c>
      <c r="Z37" s="52">
        <f>IF(Table1[[#This Row],[Funding Result]]="","",IF(LEFT(Table1[[#This Row],[Funding Result]],6)="Funded",Table1[[#This Row],[HDAP Request]],0))</f>
        <v>0</v>
      </c>
      <c r="AA37" s="18">
        <v>2000000</v>
      </c>
      <c r="AB37" s="69">
        <f>IF(Table1[[#This Row],[Funding Result]]="","",IF(LEFT(Table1[[#This Row],[Funding Result]],6)="Funded",Table1[[#This Row],[HDL
Requested]],0))</f>
        <v>0</v>
      </c>
    </row>
    <row r="38" spans="1:29" s="61" customFormat="1" ht="15" customHeight="1" x14ac:dyDescent="0.25">
      <c r="B38" s="28" t="s">
        <v>77</v>
      </c>
      <c r="C38" s="26" t="s">
        <v>121</v>
      </c>
      <c r="D38" s="115" t="s">
        <v>261</v>
      </c>
      <c r="E38" s="26" t="s">
        <v>41</v>
      </c>
      <c r="F38" s="26" t="s">
        <v>42</v>
      </c>
      <c r="G38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8" s="26" t="str">
        <f>IFERROR(IF(VLOOKUP(Table1[[#This Row],[County]],Data!$C$2:$C$33,1,FALSE)=Table1[[#This Row],[County]],"Yes","No"),"No")</f>
        <v>No</v>
      </c>
      <c r="I38" s="26" t="s">
        <v>195</v>
      </c>
      <c r="J38" s="26" t="s">
        <v>9</v>
      </c>
      <c r="K38" s="26" t="s">
        <v>10</v>
      </c>
      <c r="L38" s="27">
        <v>26</v>
      </c>
      <c r="M38" s="26" t="s">
        <v>43</v>
      </c>
      <c r="N38" s="10">
        <v>3</v>
      </c>
      <c r="O38" s="10">
        <v>5</v>
      </c>
      <c r="P38" s="10">
        <v>4</v>
      </c>
      <c r="Q38" s="10">
        <v>0</v>
      </c>
      <c r="R38" s="10">
        <v>0</v>
      </c>
      <c r="S38" s="10">
        <v>2</v>
      </c>
      <c r="T38" s="63">
        <f t="shared" si="0"/>
        <v>14</v>
      </c>
      <c r="U38" s="15">
        <v>0</v>
      </c>
      <c r="V38" s="15">
        <v>6</v>
      </c>
      <c r="W38" s="16">
        <v>0.23200000000000001</v>
      </c>
      <c r="X38" s="39" t="s">
        <v>209</v>
      </c>
      <c r="Y38" s="62">
        <v>3700000</v>
      </c>
      <c r="Z38" s="52">
        <f>IF(Table1[[#This Row],[Funding Result]]="","",IF(LEFT(Table1[[#This Row],[Funding Result]],6)="Funded",Table1[[#This Row],[HDAP Request]],0))</f>
        <v>0</v>
      </c>
      <c r="AA38" s="18">
        <v>2000000</v>
      </c>
      <c r="AB38" s="69">
        <f>IF(Table1[[#This Row],[Funding Result]]="","",IF(LEFT(Table1[[#This Row],[Funding Result]],6)="Funded",Table1[[#This Row],[HDL
Requested]],0))</f>
        <v>0</v>
      </c>
    </row>
    <row r="39" spans="1:29" s="61" customFormat="1" ht="15" customHeight="1" x14ac:dyDescent="0.25">
      <c r="B39" s="28" t="s">
        <v>66</v>
      </c>
      <c r="C39" s="26" t="s">
        <v>112</v>
      </c>
      <c r="D39" s="115" t="s">
        <v>261</v>
      </c>
      <c r="E39" s="26" t="s">
        <v>15</v>
      </c>
      <c r="F39" s="26" t="s">
        <v>16</v>
      </c>
      <c r="G39" s="26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39" s="26" t="str">
        <f>IFERROR(IF(VLOOKUP(Table1[[#This Row],[County]],Data!$C$2:$C$33,1,FALSE)=Table1[[#This Row],[County]],"Yes","No"),"No")</f>
        <v>No</v>
      </c>
      <c r="I39" s="26" t="s">
        <v>195</v>
      </c>
      <c r="J39" s="26" t="s">
        <v>9</v>
      </c>
      <c r="K39" s="26" t="s">
        <v>17</v>
      </c>
      <c r="L39" s="27">
        <v>88</v>
      </c>
      <c r="M39" s="26" t="s">
        <v>18</v>
      </c>
      <c r="N39" s="10">
        <v>3</v>
      </c>
      <c r="O39" s="10">
        <v>3</v>
      </c>
      <c r="P39" s="10">
        <v>4</v>
      </c>
      <c r="Q39" s="10">
        <v>0</v>
      </c>
      <c r="R39" s="10">
        <v>0</v>
      </c>
      <c r="S39" s="10">
        <v>3</v>
      </c>
      <c r="T39" s="63">
        <f t="shared" si="0"/>
        <v>13</v>
      </c>
      <c r="U39" s="15">
        <v>0</v>
      </c>
      <c r="V39" s="15">
        <v>9</v>
      </c>
      <c r="W39" s="16">
        <v>0.249</v>
      </c>
      <c r="X39" s="39" t="s">
        <v>209</v>
      </c>
      <c r="Y39" s="62">
        <v>4400000</v>
      </c>
      <c r="Z39" s="52">
        <f>IF(Table1[[#This Row],[Funding Result]]="","",IF(LEFT(Table1[[#This Row],[Funding Result]],6)="Funded",Table1[[#This Row],[HDAP Request]],0))</f>
        <v>0</v>
      </c>
      <c r="AA39" s="18">
        <v>0</v>
      </c>
      <c r="AB39" s="69">
        <f>IF(Table1[[#This Row],[Funding Result]]="","",IF(LEFT(Table1[[#This Row],[Funding Result]],6)="Funded",Table1[[#This Row],[HDL
Requested]],0))</f>
        <v>0</v>
      </c>
    </row>
    <row r="40" spans="1:29" s="61" customFormat="1" ht="15" customHeight="1" x14ac:dyDescent="0.25">
      <c r="B40" s="64" t="s">
        <v>56</v>
      </c>
      <c r="C40" s="54" t="s">
        <v>104</v>
      </c>
      <c r="D40" s="115" t="s">
        <v>261</v>
      </c>
      <c r="E40" s="54" t="s">
        <v>146</v>
      </c>
      <c r="F40" s="54" t="s">
        <v>147</v>
      </c>
      <c r="G40" s="54" t="str">
        <f>IF(SUM(IFERROR(IF(VLOOKUP(Table1[[#This Row],[City]],Data!$E$2:$E$16,1,FALSE)=Table1[[#This Row],[City]],1,0),0)+IFERROR(IF(VLOOKUP(Table1[[#This Row],[County]],Data!$G$2:$G$9,1,FALSE)=Table1[[#This Row],[County]],1,0),0))&gt;0,"Yes","No")</f>
        <v>Yes</v>
      </c>
      <c r="H40" s="54" t="str">
        <f>IFERROR(IF(VLOOKUP(Table1[[#This Row],[County]],Data!$C$2:$C$33,1,FALSE)=Table1[[#This Row],[County]],"Yes","No"),"No")</f>
        <v>No</v>
      </c>
      <c r="I40" s="54" t="s">
        <v>195</v>
      </c>
      <c r="J40" s="54" t="s">
        <v>9</v>
      </c>
      <c r="K40" s="54" t="s">
        <v>10</v>
      </c>
      <c r="L40" s="65">
        <v>40</v>
      </c>
      <c r="M40" s="54" t="s">
        <v>163</v>
      </c>
      <c r="N40" s="23">
        <v>5</v>
      </c>
      <c r="O40" s="23">
        <v>5</v>
      </c>
      <c r="P40" s="23">
        <v>3</v>
      </c>
      <c r="Q40" s="23">
        <v>0</v>
      </c>
      <c r="R40" s="23">
        <v>0</v>
      </c>
      <c r="S40" s="23">
        <v>0</v>
      </c>
      <c r="T40" s="67">
        <f t="shared" si="0"/>
        <v>13</v>
      </c>
      <c r="U40" s="24">
        <v>0</v>
      </c>
      <c r="V40" s="24">
        <v>8</v>
      </c>
      <c r="W40" s="58">
        <v>0.19600000000000001</v>
      </c>
      <c r="X40" s="39" t="s">
        <v>209</v>
      </c>
      <c r="Y40" s="66">
        <v>4163272</v>
      </c>
      <c r="Z40" s="52">
        <f>IF(Table1[[#This Row],[Funding Result]]="","",IF(LEFT(Table1[[#This Row],[Funding Result]],6)="Funded",Table1[[#This Row],[HDAP Request]],0))</f>
        <v>0</v>
      </c>
      <c r="AA40" s="32">
        <v>1250000</v>
      </c>
      <c r="AB40" s="69">
        <f>IF(Table1[[#This Row],[Funding Result]]="","",IF(LEFT(Table1[[#This Row],[Funding Result]],6)="Funded",Table1[[#This Row],[HDL
Requested]],0))</f>
        <v>0</v>
      </c>
    </row>
    <row r="41" spans="1:29" s="1" customFormat="1" ht="5.0999999999999996" customHeight="1" x14ac:dyDescent="0.25">
      <c r="A41" s="6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13"/>
      <c r="N41" s="12"/>
      <c r="O41" s="12"/>
      <c r="P41" s="12"/>
      <c r="Q41" s="12"/>
      <c r="R41" s="12"/>
      <c r="S41" s="12"/>
      <c r="T41" s="12"/>
      <c r="W41" s="102"/>
      <c r="AB41" s="48"/>
    </row>
    <row r="42" spans="1:29" ht="1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76" t="s">
        <v>183</v>
      </c>
      <c r="K42" s="46">
        <f>SUM(COUNTA(C16:C40))</f>
        <v>25</v>
      </c>
      <c r="L42" s="74">
        <f>SUM(L16:L40)</f>
        <v>1916</v>
      </c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102"/>
      <c r="X42" s="70" t="s">
        <v>252</v>
      </c>
      <c r="Y42" s="73">
        <f>SUM(Table1[HDAP Request])</f>
        <v>102406061</v>
      </c>
      <c r="Z42" s="73">
        <f>SUM(Table1[HDAP Reserved])</f>
        <v>24350000</v>
      </c>
      <c r="AA42" s="73">
        <f>SUM(Table1[HDL
Requested])</f>
        <v>38500000</v>
      </c>
      <c r="AB42" s="73">
        <f>SUM(Table1[HDL
Reserved])</f>
        <v>12000000</v>
      </c>
    </row>
    <row r="43" spans="1:29" ht="15" customHeight="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17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102"/>
      <c r="X43" s="61"/>
      <c r="Y43" s="61"/>
      <c r="Z43" s="61"/>
      <c r="AA43" s="61"/>
      <c r="AB43" s="48"/>
      <c r="AC43" s="61"/>
    </row>
    <row r="44" spans="1:29" ht="15" hidden="1" customHeight="1" x14ac:dyDescent="0.2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17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102"/>
      <c r="X44" s="61"/>
      <c r="Y44" s="61"/>
      <c r="Z44" s="61"/>
      <c r="AA44" s="61"/>
      <c r="AB44" s="48"/>
      <c r="AC44" s="61"/>
    </row>
    <row r="45" spans="1:29" ht="15" hidden="1" customHeight="1" x14ac:dyDescent="0.25"/>
    <row r="46" spans="1:29" ht="15" hidden="1" customHeight="1" x14ac:dyDescent="0.25"/>
    <row r="47" spans="1:29" ht="15" hidden="1" customHeight="1" x14ac:dyDescent="0.25"/>
    <row r="48" spans="1:29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</sheetData>
  <sheetProtection sort="0" autoFilter="0" pivotTables="0"/>
  <mergeCells count="11">
    <mergeCell ref="X12:Z12"/>
    <mergeCell ref="B12:M12"/>
    <mergeCell ref="B8:F8"/>
    <mergeCell ref="B9:F9"/>
    <mergeCell ref="B10:F10"/>
    <mergeCell ref="X13:AB13"/>
    <mergeCell ref="B13:M13"/>
    <mergeCell ref="N12:T12"/>
    <mergeCell ref="N13:T13"/>
    <mergeCell ref="U12:W12"/>
    <mergeCell ref="U13:W13"/>
  </mergeCells>
  <conditionalFormatting sqref="B16:AB40">
    <cfRule type="expression" dxfId="85" priority="60">
      <formula>LEFT($X16,6)="Funded"</formula>
    </cfRule>
  </conditionalFormatting>
  <dataValidations disablePrompts="1" count="4">
    <dataValidation type="list" allowBlank="1" showInputMessage="1" showErrorMessage="1" sqref="N16:P41">
      <formula1>"0,3,4,5"</formula1>
    </dataValidation>
    <dataValidation type="list" allowBlank="1" showInputMessage="1" showErrorMessage="1" sqref="Q16:Q41">
      <formula1>"0,1,3,5"</formula1>
    </dataValidation>
    <dataValidation type="list" allowBlank="1" showInputMessage="1" showErrorMessage="1" sqref="R16:R41">
      <formula1>"0,3,5"</formula1>
    </dataValidation>
    <dataValidation type="list" allowBlank="1" showInputMessage="1" showErrorMessage="1" sqref="S16:S41">
      <formula1>"0,1,2,3,4,5"</formula1>
    </dataValidation>
  </dataValidations>
  <hyperlinks>
    <hyperlink ref="D16" r:id="rId1"/>
    <hyperlink ref="D17" r:id="rId2"/>
    <hyperlink ref="D18" r:id="rId3"/>
    <hyperlink ref="D19" r:id="rId4"/>
    <hyperlink ref="D20" r:id="rId5"/>
    <hyperlink ref="D21" r:id="rId6"/>
    <hyperlink ref="D22" r:id="rId7"/>
    <hyperlink ref="D23" r:id="rId8"/>
    <hyperlink ref="D24" r:id="rId9"/>
    <hyperlink ref="D25" r:id="rId10"/>
    <hyperlink ref="D26" r:id="rId11"/>
    <hyperlink ref="D27" r:id="rId12"/>
    <hyperlink ref="D28" r:id="rId13"/>
    <hyperlink ref="D29" r:id="rId14"/>
    <hyperlink ref="D30" r:id="rId15"/>
    <hyperlink ref="D31" r:id="rId16"/>
    <hyperlink ref="D32" r:id="rId17"/>
    <hyperlink ref="D33" r:id="rId18"/>
    <hyperlink ref="D34" r:id="rId19"/>
    <hyperlink ref="D35" r:id="rId20"/>
    <hyperlink ref="D36" r:id="rId21"/>
    <hyperlink ref="D37" r:id="rId22"/>
    <hyperlink ref="D38" r:id="rId23"/>
    <hyperlink ref="D39" r:id="rId24"/>
    <hyperlink ref="D40" r:id="rId25"/>
  </hyperlinks>
  <pageMargins left="0.7" right="0.7" top="0.75" bottom="0.75" header="0.3" footer="0.3"/>
  <pageSetup paperSize="3" scale="99" fitToWidth="0" orientation="landscape" r:id="rId26"/>
  <headerFooter>
    <oddFooter>&amp;L&amp;"Arial,Regular"&amp;9November 9, 2022&amp;R&amp;"Arial,Regular"&amp;9&amp;K01+011Page &amp;P of &amp;N</oddFooter>
  </headerFooter>
  <ignoredErrors>
    <ignoredError sqref="G16:H40" unlockedFormula="1"/>
  </ignoredErrors>
  <drawing r:id="rId27"/>
  <tableParts count="1">
    <tablePart r:id="rId28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Data!$A$2:$A$10</xm:f>
          </x14:formula1>
          <xm:sqref>X16:X40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zoomScale="90" zoomScaleNormal="90" workbookViewId="0">
      <pane xSplit="3" topLeftCell="D1" activePane="topRight" state="frozen"/>
      <selection pane="topRight" activeCell="A33" sqref="A33"/>
    </sheetView>
  </sheetViews>
  <sheetFormatPr defaultColWidth="0" defaultRowHeight="13.8" zeroHeight="1" x14ac:dyDescent="0.25"/>
  <cols>
    <col min="1" max="1" width="2.77734375" style="2" customWidth="1"/>
    <col min="2" max="2" width="13.5546875" style="2" customWidth="1"/>
    <col min="3" max="3" width="33.33203125" style="2" bestFit="1" customWidth="1"/>
    <col min="4" max="4" width="12.77734375" style="2" customWidth="1"/>
    <col min="5" max="5" width="11.6640625" style="2" customWidth="1"/>
    <col min="6" max="7" width="13.44140625" style="2" customWidth="1"/>
    <col min="8" max="8" width="17" style="2" customWidth="1"/>
    <col min="9" max="9" width="19.88671875" style="2" customWidth="1"/>
    <col min="10" max="10" width="14.77734375" style="2" customWidth="1"/>
    <col min="11" max="11" width="9.77734375" style="2" customWidth="1"/>
    <col min="12" max="12" width="48.33203125" style="2" customWidth="1"/>
    <col min="13" max="13" width="17" style="2" bestFit="1" customWidth="1"/>
    <col min="14" max="14" width="15" style="2" customWidth="1"/>
    <col min="15" max="15" width="14.88671875" style="2" customWidth="1"/>
    <col min="16" max="16" width="14.44140625" style="2" customWidth="1"/>
    <col min="17" max="17" width="13.33203125" style="2" customWidth="1"/>
    <col min="18" max="18" width="14.33203125" style="2" customWidth="1"/>
    <col min="19" max="19" width="13.6640625" style="2" customWidth="1"/>
    <col min="20" max="20" width="14.6640625" style="2" bestFit="1" customWidth="1"/>
    <col min="21" max="21" width="15.44140625" style="50" customWidth="1"/>
    <col min="22" max="22" width="9.77734375" style="50" customWidth="1"/>
    <col min="23" max="23" width="9.77734375" style="112" customWidth="1"/>
    <col min="24" max="24" width="30" style="2" bestFit="1" customWidth="1"/>
    <col min="25" max="25" width="14.109375" style="2" bestFit="1" customWidth="1"/>
    <col min="26" max="26" width="13.88671875" style="2" bestFit="1" customWidth="1"/>
    <col min="27" max="27" width="14.109375" style="61" bestFit="1" customWidth="1"/>
    <col min="28" max="28" width="15.44140625" style="61" bestFit="1" customWidth="1"/>
    <col min="29" max="29" width="2.77734375" style="61" customWidth="1"/>
    <col min="30" max="30" width="8.88671875" style="61" hidden="1" customWidth="1"/>
    <col min="31" max="16384" width="8.88671875" style="2" hidden="1"/>
  </cols>
  <sheetData>
    <row r="1" spans="1:30" ht="15" customHeight="1" x14ac:dyDescent="0.25">
      <c r="A1" s="61"/>
      <c r="B1" s="81"/>
      <c r="C1" s="81"/>
      <c r="D1" s="8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38"/>
      <c r="V1" s="38"/>
      <c r="W1" s="106"/>
      <c r="X1" s="61"/>
      <c r="Y1" s="61"/>
      <c r="Z1" s="61"/>
      <c r="AD1" s="2"/>
    </row>
    <row r="2" spans="1:30" ht="15" customHeight="1" x14ac:dyDescent="0.25">
      <c r="A2" s="61"/>
      <c r="B2" s="81"/>
      <c r="C2" s="81"/>
      <c r="D2" s="8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38"/>
      <c r="V2" s="38"/>
      <c r="W2" s="106"/>
      <c r="X2" s="61"/>
      <c r="Y2" s="61"/>
      <c r="Z2" s="61"/>
      <c r="AD2" s="2"/>
    </row>
    <row r="3" spans="1:30" ht="15" customHeight="1" x14ac:dyDescent="0.25">
      <c r="A3" s="61"/>
      <c r="B3" s="81"/>
      <c r="C3" s="81"/>
      <c r="D3" s="8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38"/>
      <c r="V3" s="38"/>
      <c r="W3" s="106"/>
      <c r="X3" s="61"/>
      <c r="Y3" s="61"/>
      <c r="Z3" s="61"/>
      <c r="AD3" s="2"/>
    </row>
    <row r="4" spans="1:30" ht="21" customHeight="1" x14ac:dyDescent="0.25">
      <c r="A4" s="61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6"/>
      <c r="V4" s="86"/>
      <c r="W4" s="107"/>
      <c r="X4" s="78"/>
      <c r="Y4" s="78"/>
      <c r="Z4" s="78"/>
      <c r="AD4" s="2"/>
    </row>
    <row r="5" spans="1:30" ht="5.0999999999999996" customHeight="1" x14ac:dyDescent="0.25">
      <c r="A5" s="6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7"/>
      <c r="V5" s="87"/>
      <c r="W5" s="108"/>
      <c r="X5" s="81"/>
      <c r="Y5" s="81"/>
      <c r="Z5" s="81"/>
      <c r="AD5" s="2"/>
    </row>
    <row r="6" spans="1:30" x14ac:dyDescent="0.25">
      <c r="A6" s="6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7"/>
      <c r="V6" s="87"/>
      <c r="W6" s="108"/>
      <c r="X6" s="81"/>
      <c r="Y6" s="81"/>
      <c r="Z6" s="81"/>
      <c r="AD6" s="2"/>
    </row>
    <row r="7" spans="1:30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38"/>
      <c r="V7" s="38"/>
      <c r="W7" s="106"/>
      <c r="X7" s="61"/>
      <c r="Y7" s="61"/>
      <c r="Z7" s="61"/>
    </row>
    <row r="8" spans="1:30" ht="17.399999999999999" x14ac:dyDescent="0.25">
      <c r="A8" s="61"/>
      <c r="B8" s="122" t="s">
        <v>271</v>
      </c>
      <c r="C8" s="122"/>
      <c r="D8" s="122"/>
      <c r="E8" s="122"/>
      <c r="F8" s="122"/>
      <c r="G8" s="122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38"/>
      <c r="V8" s="38"/>
      <c r="W8" s="106"/>
      <c r="X8" s="61"/>
      <c r="Y8" s="61"/>
      <c r="Z8" s="61"/>
    </row>
    <row r="9" spans="1:30" ht="1.95" customHeight="1" x14ac:dyDescent="0.25">
      <c r="A9" s="61"/>
      <c r="B9" s="123"/>
      <c r="C9" s="123"/>
      <c r="D9" s="123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38"/>
      <c r="V9" s="38"/>
      <c r="W9" s="106"/>
      <c r="X9" s="61"/>
      <c r="Y9" s="61"/>
      <c r="Z9" s="61"/>
    </row>
    <row r="10" spans="1:30" ht="17.399999999999999" x14ac:dyDescent="0.25">
      <c r="A10" s="61"/>
      <c r="B10" s="124" t="s">
        <v>257</v>
      </c>
      <c r="C10" s="124"/>
      <c r="D10" s="124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38"/>
      <c r="V10" s="38"/>
      <c r="W10" s="106"/>
      <c r="X10" s="61"/>
      <c r="Y10" s="61"/>
      <c r="Z10" s="61"/>
    </row>
    <row r="11" spans="1:30" s="36" customFormat="1" x14ac:dyDescent="0.25">
      <c r="A11" s="61"/>
      <c r="D11" s="61"/>
      <c r="H11" s="56"/>
      <c r="U11" s="38"/>
      <c r="V11" s="38"/>
      <c r="W11" s="106"/>
      <c r="AA11" s="61"/>
      <c r="AB11" s="61"/>
      <c r="AC11" s="61"/>
      <c r="AD11" s="61"/>
    </row>
    <row r="12" spans="1:30" s="88" customFormat="1" ht="14.4" x14ac:dyDescent="0.3">
      <c r="B12" s="125" t="s">
        <v>189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 t="s">
        <v>190</v>
      </c>
      <c r="N12" s="125"/>
      <c r="O12" s="125"/>
      <c r="P12" s="125"/>
      <c r="Q12" s="125"/>
      <c r="R12" s="125"/>
      <c r="S12" s="125"/>
      <c r="T12" s="125"/>
      <c r="U12" s="125" t="s">
        <v>202</v>
      </c>
      <c r="V12" s="125"/>
      <c r="W12" s="125"/>
      <c r="X12" s="125" t="s">
        <v>253</v>
      </c>
      <c r="Y12" s="125"/>
      <c r="Z12" s="125"/>
    </row>
    <row r="13" spans="1:30" ht="5.0999999999999996" customHeight="1" x14ac:dyDescent="0.25">
      <c r="A13" s="61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20"/>
      <c r="N13" s="120"/>
      <c r="O13" s="120"/>
      <c r="P13" s="120"/>
      <c r="Q13" s="120"/>
      <c r="R13" s="120"/>
      <c r="S13" s="120"/>
      <c r="T13" s="120"/>
      <c r="U13" s="126"/>
      <c r="V13" s="126"/>
      <c r="W13" s="126"/>
      <c r="X13" s="117"/>
      <c r="Y13" s="117"/>
      <c r="Z13" s="117"/>
      <c r="AA13" s="117"/>
      <c r="AB13" s="117"/>
    </row>
    <row r="14" spans="1:30" ht="5.0999999999999996" customHeight="1" x14ac:dyDescent="0.25">
      <c r="A14" s="61"/>
      <c r="B14" s="35"/>
      <c r="C14" s="35"/>
      <c r="D14" s="60"/>
      <c r="E14" s="35"/>
      <c r="F14" s="35"/>
      <c r="G14" s="35"/>
      <c r="H14" s="5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49"/>
      <c r="V14" s="49"/>
      <c r="W14" s="106"/>
      <c r="X14" s="36"/>
      <c r="Y14" s="36"/>
      <c r="Z14" s="36"/>
    </row>
    <row r="15" spans="1:30" s="45" customFormat="1" ht="60" customHeight="1" x14ac:dyDescent="0.25">
      <c r="A15" s="25"/>
      <c r="B15" s="4" t="s">
        <v>0</v>
      </c>
      <c r="C15" s="4" t="s">
        <v>1</v>
      </c>
      <c r="D15" s="4" t="s">
        <v>260</v>
      </c>
      <c r="E15" s="4" t="s">
        <v>2</v>
      </c>
      <c r="F15" s="4" t="s">
        <v>3</v>
      </c>
      <c r="G15" s="4" t="s">
        <v>254</v>
      </c>
      <c r="H15" s="4" t="s">
        <v>194</v>
      </c>
      <c r="I15" s="4" t="s">
        <v>4</v>
      </c>
      <c r="J15" s="4" t="s">
        <v>5</v>
      </c>
      <c r="K15" s="8" t="s">
        <v>6</v>
      </c>
      <c r="L15" s="4" t="s">
        <v>7</v>
      </c>
      <c r="M15" s="9" t="s">
        <v>264</v>
      </c>
      <c r="N15" s="9" t="s">
        <v>181</v>
      </c>
      <c r="O15" s="98" t="s">
        <v>191</v>
      </c>
      <c r="P15" s="98" t="s">
        <v>192</v>
      </c>
      <c r="Q15" s="98" t="s">
        <v>184</v>
      </c>
      <c r="R15" s="9" t="s">
        <v>185</v>
      </c>
      <c r="S15" s="9" t="s">
        <v>182</v>
      </c>
      <c r="T15" s="9" t="s">
        <v>186</v>
      </c>
      <c r="U15" s="4" t="s">
        <v>188</v>
      </c>
      <c r="V15" s="4" t="s">
        <v>187</v>
      </c>
      <c r="W15" s="104" t="s">
        <v>270</v>
      </c>
      <c r="X15" s="4" t="s">
        <v>203</v>
      </c>
      <c r="Y15" s="4" t="s">
        <v>178</v>
      </c>
      <c r="Z15" s="4" t="s">
        <v>204</v>
      </c>
      <c r="AA15" s="34" t="s">
        <v>8</v>
      </c>
      <c r="AB15" s="34" t="s">
        <v>265</v>
      </c>
      <c r="AC15" s="25"/>
      <c r="AD15" s="25"/>
    </row>
    <row r="16" spans="1:30" s="94" customFormat="1" x14ac:dyDescent="0.3">
      <c r="A16" s="59"/>
      <c r="B16" s="29" t="s">
        <v>95</v>
      </c>
      <c r="C16" s="29" t="s">
        <v>135</v>
      </c>
      <c r="D16" s="116" t="s">
        <v>261</v>
      </c>
      <c r="E16" s="29" t="s">
        <v>157</v>
      </c>
      <c r="F16" s="29" t="s">
        <v>158</v>
      </c>
      <c r="G16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16" s="29" t="s">
        <v>196</v>
      </c>
      <c r="I16" s="29" t="s">
        <v>14</v>
      </c>
      <c r="J16" s="29" t="s">
        <v>17</v>
      </c>
      <c r="K16" s="30">
        <v>94</v>
      </c>
      <c r="L16" s="29" t="s">
        <v>173</v>
      </c>
      <c r="M16" s="47">
        <v>5</v>
      </c>
      <c r="N16" s="47">
        <v>3</v>
      </c>
      <c r="O16" s="47">
        <v>0</v>
      </c>
      <c r="P16" s="47">
        <v>4</v>
      </c>
      <c r="Q16" s="47">
        <v>0</v>
      </c>
      <c r="R16" s="47">
        <v>5</v>
      </c>
      <c r="S16" s="47">
        <v>5</v>
      </c>
      <c r="T16" s="14">
        <f t="shared" ref="T16:T30" si="0">SUM(M16:N16,MAX(O16:Q16),R16:S16)</f>
        <v>22</v>
      </c>
      <c r="U16" s="47">
        <v>0</v>
      </c>
      <c r="V16" s="47">
        <v>23</v>
      </c>
      <c r="W16" s="109">
        <v>0.16800000000000001</v>
      </c>
      <c r="X16" s="53" t="s">
        <v>205</v>
      </c>
      <c r="Y16" s="31">
        <v>2760000</v>
      </c>
      <c r="Z16" s="31">
        <f>IF(Table2[[#This Row],[Funding Result]]="","",IF(LEFT(Table2[[#This Row],[Funding Result]],6)="Funded",Table2[[#This Row],[HDAP Request]],0))</f>
        <v>2760000</v>
      </c>
      <c r="AA16" s="96">
        <v>1250000</v>
      </c>
      <c r="AB16" s="31">
        <f>IF(Table2[[#This Row],[Funding Result]]="","",IF(LEFT(Table2[[#This Row],[Funding Result]],6)="Funded",Table2[[#This Row],[HDL
Requested]],0))</f>
        <v>1250000</v>
      </c>
      <c r="AC16" s="59"/>
      <c r="AD16" s="59"/>
    </row>
    <row r="17" spans="1:30" s="94" customFormat="1" x14ac:dyDescent="0.3">
      <c r="A17" s="59"/>
      <c r="B17" s="29" t="s">
        <v>88</v>
      </c>
      <c r="C17" s="29" t="s">
        <v>52</v>
      </c>
      <c r="D17" s="116" t="s">
        <v>261</v>
      </c>
      <c r="E17" s="29" t="s">
        <v>53</v>
      </c>
      <c r="F17" s="29" t="s">
        <v>54</v>
      </c>
      <c r="G17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17" s="29" t="s">
        <v>197</v>
      </c>
      <c r="I17" s="29" t="s">
        <v>14</v>
      </c>
      <c r="J17" s="29" t="s">
        <v>10</v>
      </c>
      <c r="K17" s="30">
        <v>56</v>
      </c>
      <c r="L17" s="29" t="s">
        <v>45</v>
      </c>
      <c r="M17" s="47">
        <v>5</v>
      </c>
      <c r="N17" s="47">
        <v>3</v>
      </c>
      <c r="O17" s="47">
        <v>0</v>
      </c>
      <c r="P17" s="47">
        <v>4</v>
      </c>
      <c r="Q17" s="47">
        <v>0</v>
      </c>
      <c r="R17" s="47">
        <v>5</v>
      </c>
      <c r="S17" s="47">
        <v>5</v>
      </c>
      <c r="T17" s="14">
        <f t="shared" si="0"/>
        <v>22</v>
      </c>
      <c r="U17" s="47">
        <v>0</v>
      </c>
      <c r="V17" s="47">
        <v>6</v>
      </c>
      <c r="W17" s="109">
        <v>0.16300000000000001</v>
      </c>
      <c r="X17" s="53" t="s">
        <v>205</v>
      </c>
      <c r="Y17" s="31">
        <v>2240000</v>
      </c>
      <c r="Z17" s="31">
        <f>IF(Table2[[#This Row],[Funding Result]]="","",IF(LEFT(Table2[[#This Row],[Funding Result]],6)="Funded",Table2[[#This Row],[HDAP Request]],0))</f>
        <v>2240000</v>
      </c>
      <c r="AA17" s="96">
        <v>1200000</v>
      </c>
      <c r="AB17" s="31">
        <f>IF(Table2[[#This Row],[Funding Result]]="","",IF(LEFT(Table2[[#This Row],[Funding Result]],6)="Funded",Table2[[#This Row],[HDL
Requested]],0))</f>
        <v>1200000</v>
      </c>
      <c r="AC17" s="59"/>
      <c r="AD17" s="59"/>
    </row>
    <row r="18" spans="1:30" s="94" customFormat="1" x14ac:dyDescent="0.3">
      <c r="A18" s="59"/>
      <c r="B18" s="29" t="s">
        <v>91</v>
      </c>
      <c r="C18" s="29" t="s">
        <v>131</v>
      </c>
      <c r="D18" s="116" t="s">
        <v>261</v>
      </c>
      <c r="E18" s="29" t="s">
        <v>154</v>
      </c>
      <c r="F18" s="29" t="s">
        <v>155</v>
      </c>
      <c r="G18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18" s="29" t="s">
        <v>197</v>
      </c>
      <c r="I18" s="29" t="s">
        <v>14</v>
      </c>
      <c r="J18" s="29" t="s">
        <v>17</v>
      </c>
      <c r="K18" s="30">
        <v>40</v>
      </c>
      <c r="L18" s="29" t="s">
        <v>172</v>
      </c>
      <c r="M18" s="47">
        <v>5</v>
      </c>
      <c r="N18" s="47">
        <v>3</v>
      </c>
      <c r="O18" s="47">
        <v>0</v>
      </c>
      <c r="P18" s="47">
        <v>4</v>
      </c>
      <c r="Q18" s="47">
        <v>0</v>
      </c>
      <c r="R18" s="47">
        <v>5</v>
      </c>
      <c r="S18" s="47">
        <v>5</v>
      </c>
      <c r="T18" s="14">
        <f t="shared" si="0"/>
        <v>22</v>
      </c>
      <c r="U18" s="47">
        <v>0</v>
      </c>
      <c r="V18" s="47">
        <v>5</v>
      </c>
      <c r="W18" s="109">
        <v>0.17899999999999999</v>
      </c>
      <c r="X18" s="53" t="s">
        <v>205</v>
      </c>
      <c r="Y18" s="31">
        <v>1550000</v>
      </c>
      <c r="Z18" s="31">
        <f>IF(Table2[[#This Row],[Funding Result]]="","",IF(LEFT(Table2[[#This Row],[Funding Result]],6)="Funded",Table2[[#This Row],[HDAP Request]],0))</f>
        <v>1550000</v>
      </c>
      <c r="AA18" s="96">
        <v>0</v>
      </c>
      <c r="AB18" s="31">
        <f>IF(Table2[[#This Row],[Funding Result]]="","",IF(LEFT(Table2[[#This Row],[Funding Result]],6)="Funded",Table2[[#This Row],[HDL
Requested]],0))</f>
        <v>0</v>
      </c>
      <c r="AC18" s="59"/>
      <c r="AD18" s="59"/>
    </row>
    <row r="19" spans="1:30" s="94" customFormat="1" x14ac:dyDescent="0.3">
      <c r="A19" s="59"/>
      <c r="B19" s="29" t="s">
        <v>96</v>
      </c>
      <c r="C19" s="29" t="s">
        <v>136</v>
      </c>
      <c r="D19" s="116" t="s">
        <v>261</v>
      </c>
      <c r="E19" s="29" t="s">
        <v>41</v>
      </c>
      <c r="F19" s="29" t="s">
        <v>42</v>
      </c>
      <c r="G19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19" s="29" t="s">
        <v>196</v>
      </c>
      <c r="I19" s="29" t="s">
        <v>14</v>
      </c>
      <c r="J19" s="29" t="s">
        <v>17</v>
      </c>
      <c r="K19" s="30">
        <v>100</v>
      </c>
      <c r="L19" s="29" t="s">
        <v>39</v>
      </c>
      <c r="M19" s="47">
        <v>5</v>
      </c>
      <c r="N19" s="47">
        <v>3</v>
      </c>
      <c r="O19" s="47">
        <v>0</v>
      </c>
      <c r="P19" s="47">
        <v>4</v>
      </c>
      <c r="Q19" s="47">
        <v>0</v>
      </c>
      <c r="R19" s="47">
        <v>4</v>
      </c>
      <c r="S19" s="47">
        <v>5</v>
      </c>
      <c r="T19" s="14">
        <f t="shared" si="0"/>
        <v>21</v>
      </c>
      <c r="U19" s="47">
        <v>2</v>
      </c>
      <c r="V19" s="47">
        <v>89</v>
      </c>
      <c r="W19" s="109">
        <v>0.23200000000000001</v>
      </c>
      <c r="X19" s="53" t="s">
        <v>205</v>
      </c>
      <c r="Y19" s="31">
        <v>2550000</v>
      </c>
      <c r="Z19" s="31">
        <f>IF(Table2[[#This Row],[Funding Result]]="","",IF(LEFT(Table2[[#This Row],[Funding Result]],6)="Funded",Table2[[#This Row],[HDAP Request]],0))</f>
        <v>2550000</v>
      </c>
      <c r="AA19" s="96">
        <v>2000000</v>
      </c>
      <c r="AB19" s="31">
        <f>IF(Table2[[#This Row],[Funding Result]]="","",IF(LEFT(Table2[[#This Row],[Funding Result]],6)="Funded",Table2[[#This Row],[HDL
Requested]],0))</f>
        <v>2000000</v>
      </c>
      <c r="AC19" s="59"/>
      <c r="AD19" s="59"/>
    </row>
    <row r="20" spans="1:30" s="94" customFormat="1" x14ac:dyDescent="0.3">
      <c r="A20" s="59"/>
      <c r="B20" s="29" t="s">
        <v>87</v>
      </c>
      <c r="C20" s="29" t="s">
        <v>51</v>
      </c>
      <c r="D20" s="116" t="s">
        <v>261</v>
      </c>
      <c r="E20" s="29" t="s">
        <v>22</v>
      </c>
      <c r="F20" s="29" t="s">
        <v>20</v>
      </c>
      <c r="G20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0" s="29" t="s">
        <v>197</v>
      </c>
      <c r="I20" s="29" t="s">
        <v>14</v>
      </c>
      <c r="J20" s="29" t="s">
        <v>10</v>
      </c>
      <c r="K20" s="30">
        <v>50</v>
      </c>
      <c r="L20" s="29" t="s">
        <v>45</v>
      </c>
      <c r="M20" s="47">
        <v>5</v>
      </c>
      <c r="N20" s="47">
        <v>0</v>
      </c>
      <c r="O20" s="47">
        <v>0</v>
      </c>
      <c r="P20" s="47">
        <v>4</v>
      </c>
      <c r="Q20" s="47">
        <v>0</v>
      </c>
      <c r="R20" s="47">
        <v>5</v>
      </c>
      <c r="S20" s="47">
        <v>5</v>
      </c>
      <c r="T20" s="14">
        <f t="shared" si="0"/>
        <v>19</v>
      </c>
      <c r="U20" s="47">
        <v>0</v>
      </c>
      <c r="V20" s="47">
        <v>5</v>
      </c>
      <c r="W20" s="109">
        <v>0.219</v>
      </c>
      <c r="X20" s="53" t="s">
        <v>205</v>
      </c>
      <c r="Y20" s="31">
        <v>2000000</v>
      </c>
      <c r="Z20" s="31">
        <f>IF(Table2[[#This Row],[Funding Result]]="","",IF(LEFT(Table2[[#This Row],[Funding Result]],6)="Funded",Table2[[#This Row],[HDAP Request]],0))</f>
        <v>2000000</v>
      </c>
      <c r="AA20" s="96">
        <v>1000000</v>
      </c>
      <c r="AB20" s="31">
        <f>IF(Table2[[#This Row],[Funding Result]]="","",IF(LEFT(Table2[[#This Row],[Funding Result]],6)="Funded",Table2[[#This Row],[HDL
Requested]],0))</f>
        <v>1000000</v>
      </c>
      <c r="AC20" s="59"/>
      <c r="AD20" s="59"/>
    </row>
    <row r="21" spans="1:30" s="94" customFormat="1" x14ac:dyDescent="0.3">
      <c r="A21" s="59"/>
      <c r="B21" s="29" t="s">
        <v>64</v>
      </c>
      <c r="C21" s="29" t="s">
        <v>110</v>
      </c>
      <c r="D21" s="116" t="s">
        <v>261</v>
      </c>
      <c r="E21" s="29" t="s">
        <v>150</v>
      </c>
      <c r="F21" s="29" t="s">
        <v>20</v>
      </c>
      <c r="G21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1" s="29" t="s">
        <v>196</v>
      </c>
      <c r="I21" s="29" t="s">
        <v>14</v>
      </c>
      <c r="J21" s="29" t="s">
        <v>10</v>
      </c>
      <c r="K21" s="30">
        <v>96</v>
      </c>
      <c r="L21" s="29" t="s">
        <v>166</v>
      </c>
      <c r="M21" s="47">
        <v>5</v>
      </c>
      <c r="N21" s="47">
        <v>3</v>
      </c>
      <c r="O21" s="47">
        <v>0</v>
      </c>
      <c r="P21" s="47">
        <v>0</v>
      </c>
      <c r="Q21" s="47">
        <v>0</v>
      </c>
      <c r="R21" s="47">
        <v>5</v>
      </c>
      <c r="S21" s="47">
        <v>5</v>
      </c>
      <c r="T21" s="14">
        <f t="shared" si="0"/>
        <v>18</v>
      </c>
      <c r="U21" s="47">
        <v>0</v>
      </c>
      <c r="V21" s="47">
        <v>15</v>
      </c>
      <c r="W21" s="109">
        <v>0.219</v>
      </c>
      <c r="X21" s="53" t="s">
        <v>205</v>
      </c>
      <c r="Y21" s="31">
        <v>2580000</v>
      </c>
      <c r="Z21" s="31">
        <f>IF(Table2[[#This Row],[Funding Result]]="","",IF(LEFT(Table2[[#This Row],[Funding Result]],6)="Funded",Table2[[#This Row],[HDAP Request]],0))</f>
        <v>2580000</v>
      </c>
      <c r="AA21" s="96">
        <v>2000000</v>
      </c>
      <c r="AB21" s="31">
        <f>IF(Table2[[#This Row],[Funding Result]]="","",IF(LEFT(Table2[[#This Row],[Funding Result]],6)="Funded",Table2[[#This Row],[HDL
Requested]],0))</f>
        <v>2000000</v>
      </c>
      <c r="AC21" s="59"/>
      <c r="AD21" s="59"/>
    </row>
    <row r="22" spans="1:30" s="94" customFormat="1" x14ac:dyDescent="0.3">
      <c r="A22" s="59"/>
      <c r="B22" s="29" t="s">
        <v>68</v>
      </c>
      <c r="C22" s="29" t="s">
        <v>113</v>
      </c>
      <c r="D22" s="116" t="s">
        <v>261</v>
      </c>
      <c r="E22" s="29" t="s">
        <v>22</v>
      </c>
      <c r="F22" s="29" t="s">
        <v>20</v>
      </c>
      <c r="G22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2" s="29" t="s">
        <v>196</v>
      </c>
      <c r="I22" s="29" t="s">
        <v>14</v>
      </c>
      <c r="J22" s="29" t="s">
        <v>10</v>
      </c>
      <c r="K22" s="30">
        <v>64</v>
      </c>
      <c r="L22" s="29" t="s">
        <v>31</v>
      </c>
      <c r="M22" s="47">
        <v>0</v>
      </c>
      <c r="N22" s="47">
        <v>3</v>
      </c>
      <c r="O22" s="47">
        <v>0</v>
      </c>
      <c r="P22" s="47">
        <v>0</v>
      </c>
      <c r="Q22" s="47">
        <v>5</v>
      </c>
      <c r="R22" s="47">
        <v>5</v>
      </c>
      <c r="S22" s="47">
        <v>5</v>
      </c>
      <c r="T22" s="14">
        <f t="shared" si="0"/>
        <v>18</v>
      </c>
      <c r="U22" s="47">
        <v>0</v>
      </c>
      <c r="V22" s="47">
        <v>7</v>
      </c>
      <c r="W22" s="109">
        <v>0.219</v>
      </c>
      <c r="X22" s="53" t="s">
        <v>209</v>
      </c>
      <c r="Y22" s="31">
        <v>1920000</v>
      </c>
      <c r="Z22" s="31">
        <f>IF(Table2[[#This Row],[Funding Result]]="","",IF(LEFT(Table2[[#This Row],[Funding Result]],6)="Funded",Table2[[#This Row],[HDAP Request]],0))</f>
        <v>0</v>
      </c>
      <c r="AA22" s="96">
        <v>2000000</v>
      </c>
      <c r="AB22" s="31">
        <f>IF(Table2[[#This Row],[Funding Result]]="","",IF(LEFT(Table2[[#This Row],[Funding Result]],6)="Funded",Table2[[#This Row],[HDL
Requested]],0))</f>
        <v>0</v>
      </c>
      <c r="AC22" s="59"/>
      <c r="AD22" s="59"/>
    </row>
    <row r="23" spans="1:30" s="94" customFormat="1" x14ac:dyDescent="0.3">
      <c r="A23" s="59"/>
      <c r="B23" s="29" t="s">
        <v>102</v>
      </c>
      <c r="C23" s="29" t="s">
        <v>143</v>
      </c>
      <c r="D23" s="116" t="s">
        <v>261</v>
      </c>
      <c r="E23" s="29" t="s">
        <v>161</v>
      </c>
      <c r="F23" s="29" t="s">
        <v>162</v>
      </c>
      <c r="G23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23" s="29" t="s">
        <v>197</v>
      </c>
      <c r="I23" s="29" t="s">
        <v>14</v>
      </c>
      <c r="J23" s="29" t="s">
        <v>10</v>
      </c>
      <c r="K23" s="30">
        <v>100</v>
      </c>
      <c r="L23" s="29" t="s">
        <v>174</v>
      </c>
      <c r="M23" s="47">
        <v>5</v>
      </c>
      <c r="N23" s="47">
        <v>3</v>
      </c>
      <c r="O23" s="47">
        <v>0</v>
      </c>
      <c r="P23" s="47">
        <v>0</v>
      </c>
      <c r="Q23" s="47">
        <v>0</v>
      </c>
      <c r="R23" s="47">
        <v>5</v>
      </c>
      <c r="S23" s="47">
        <v>4</v>
      </c>
      <c r="T23" s="14">
        <f t="shared" si="0"/>
        <v>17</v>
      </c>
      <c r="U23" s="47">
        <v>0</v>
      </c>
      <c r="V23" s="47">
        <v>35</v>
      </c>
      <c r="W23" s="109">
        <v>0.17499999999999999</v>
      </c>
      <c r="X23" s="53" t="s">
        <v>209</v>
      </c>
      <c r="Y23" s="31">
        <v>3500000</v>
      </c>
      <c r="Z23" s="95">
        <f>IF(Table2[[#This Row],[Funding Result]]="","",IF(LEFT(Table2[[#This Row],[Funding Result]],6)="Funded",Table2[[#This Row],[HDAP Request]],0))</f>
        <v>0</v>
      </c>
      <c r="AA23" s="96">
        <v>0</v>
      </c>
      <c r="AB23" s="31">
        <f>IF(Table2[[#This Row],[Funding Result]]="","",IF(LEFT(Table2[[#This Row],[Funding Result]],6)="Funded",Table2[[#This Row],[HDL
Requested]],0))</f>
        <v>0</v>
      </c>
      <c r="AC23" s="59"/>
      <c r="AD23" s="59"/>
    </row>
    <row r="24" spans="1:30" s="94" customFormat="1" x14ac:dyDescent="0.3">
      <c r="A24" s="59"/>
      <c r="B24" s="29" t="s">
        <v>81</v>
      </c>
      <c r="C24" s="29" t="s">
        <v>124</v>
      </c>
      <c r="D24" s="116" t="s">
        <v>261</v>
      </c>
      <c r="E24" s="29" t="s">
        <v>151</v>
      </c>
      <c r="F24" s="29" t="s">
        <v>151</v>
      </c>
      <c r="G24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24" s="29" t="s">
        <v>197</v>
      </c>
      <c r="I24" s="29" t="s">
        <v>14</v>
      </c>
      <c r="J24" s="29" t="s">
        <v>10</v>
      </c>
      <c r="K24" s="30">
        <v>50</v>
      </c>
      <c r="L24" s="29" t="s">
        <v>45</v>
      </c>
      <c r="M24" s="47">
        <v>5</v>
      </c>
      <c r="N24" s="47">
        <v>3</v>
      </c>
      <c r="O24" s="47">
        <v>0</v>
      </c>
      <c r="P24" s="47">
        <v>0</v>
      </c>
      <c r="Q24" s="47">
        <v>0</v>
      </c>
      <c r="R24" s="47">
        <v>5</v>
      </c>
      <c r="S24" s="47">
        <v>3</v>
      </c>
      <c r="T24" s="14">
        <f t="shared" si="0"/>
        <v>16</v>
      </c>
      <c r="U24" s="47">
        <v>0</v>
      </c>
      <c r="V24" s="47">
        <v>5</v>
      </c>
      <c r="W24" s="109">
        <v>0.224</v>
      </c>
      <c r="X24" s="53" t="s">
        <v>209</v>
      </c>
      <c r="Y24" s="31">
        <v>2500000</v>
      </c>
      <c r="Z24" s="31">
        <f>IF(Table2[[#This Row],[Funding Result]]="","",IF(LEFT(Table2[[#This Row],[Funding Result]],6)="Funded",Table2[[#This Row],[HDAP Request]],0))</f>
        <v>0</v>
      </c>
      <c r="AA24" s="96">
        <v>1000000</v>
      </c>
      <c r="AB24" s="31">
        <f>IF(Table2[[#This Row],[Funding Result]]="","",IF(LEFT(Table2[[#This Row],[Funding Result]],6)="Funded",Table2[[#This Row],[HDL
Requested]],0))</f>
        <v>0</v>
      </c>
      <c r="AC24" s="59"/>
      <c r="AD24" s="59"/>
    </row>
    <row r="25" spans="1:30" s="94" customFormat="1" x14ac:dyDescent="0.3">
      <c r="A25" s="59"/>
      <c r="B25" s="29" t="s">
        <v>75</v>
      </c>
      <c r="C25" s="29" t="s">
        <v>119</v>
      </c>
      <c r="D25" s="116" t="s">
        <v>261</v>
      </c>
      <c r="E25" s="29" t="s">
        <v>41</v>
      </c>
      <c r="F25" s="29" t="s">
        <v>42</v>
      </c>
      <c r="G25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5" s="29" t="s">
        <v>195</v>
      </c>
      <c r="I25" s="29" t="s">
        <v>14</v>
      </c>
      <c r="J25" s="29" t="s">
        <v>17</v>
      </c>
      <c r="K25" s="30">
        <v>90</v>
      </c>
      <c r="L25" s="29" t="s">
        <v>18</v>
      </c>
      <c r="M25" s="47">
        <v>0</v>
      </c>
      <c r="N25" s="47">
        <v>0</v>
      </c>
      <c r="O25" s="47">
        <v>0</v>
      </c>
      <c r="P25" s="47">
        <v>0</v>
      </c>
      <c r="Q25" s="47">
        <v>5</v>
      </c>
      <c r="R25" s="47">
        <v>5</v>
      </c>
      <c r="S25" s="47">
        <v>5</v>
      </c>
      <c r="T25" s="14">
        <f t="shared" si="0"/>
        <v>15</v>
      </c>
      <c r="U25" s="47">
        <v>0</v>
      </c>
      <c r="V25" s="47">
        <v>9</v>
      </c>
      <c r="W25" s="109">
        <v>0.23200000000000001</v>
      </c>
      <c r="X25" s="53" t="s">
        <v>209</v>
      </c>
      <c r="Y25" s="31">
        <v>2699000</v>
      </c>
      <c r="Z25" s="31">
        <f>IF(Table2[[#This Row],[Funding Result]]="","",IF(LEFT(Table2[[#This Row],[Funding Result]],6)="Funded",Table2[[#This Row],[HDAP Request]],0))</f>
        <v>0</v>
      </c>
      <c r="AA25" s="96">
        <v>0</v>
      </c>
      <c r="AB25" s="31">
        <f>IF(Table2[[#This Row],[Funding Result]]="","",IF(LEFT(Table2[[#This Row],[Funding Result]],6)="Funded",Table2[[#This Row],[HDL
Requested]],0))</f>
        <v>0</v>
      </c>
      <c r="AC25" s="59"/>
      <c r="AD25" s="59"/>
    </row>
    <row r="26" spans="1:30" s="94" customFormat="1" x14ac:dyDescent="0.3">
      <c r="A26" s="59"/>
      <c r="B26" s="29" t="s">
        <v>85</v>
      </c>
      <c r="C26" s="29" t="s">
        <v>127</v>
      </c>
      <c r="D26" s="116" t="s">
        <v>261</v>
      </c>
      <c r="E26" s="29" t="s">
        <v>153</v>
      </c>
      <c r="F26" s="29" t="s">
        <v>153</v>
      </c>
      <c r="G26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No</v>
      </c>
      <c r="H26" s="29" t="s">
        <v>196</v>
      </c>
      <c r="I26" s="29" t="s">
        <v>14</v>
      </c>
      <c r="J26" s="29" t="s">
        <v>17</v>
      </c>
      <c r="K26" s="30">
        <v>85</v>
      </c>
      <c r="L26" s="29" t="s">
        <v>25</v>
      </c>
      <c r="M26" s="47">
        <v>5</v>
      </c>
      <c r="N26" s="47">
        <v>0</v>
      </c>
      <c r="O26" s="47">
        <v>0</v>
      </c>
      <c r="P26" s="47">
        <v>4</v>
      </c>
      <c r="Q26" s="47">
        <v>0</v>
      </c>
      <c r="R26" s="47">
        <v>4</v>
      </c>
      <c r="S26" s="47">
        <v>2</v>
      </c>
      <c r="T26" s="14">
        <f t="shared" si="0"/>
        <v>15</v>
      </c>
      <c r="U26" s="47">
        <v>0</v>
      </c>
      <c r="V26" s="47">
        <v>0</v>
      </c>
      <c r="W26" s="109">
        <v>0.158</v>
      </c>
      <c r="X26" s="53" t="s">
        <v>209</v>
      </c>
      <c r="Y26" s="31">
        <v>3500000</v>
      </c>
      <c r="Z26" s="31">
        <f>IF(Table2[[#This Row],[Funding Result]]="","",IF(LEFT(Table2[[#This Row],[Funding Result]],6)="Funded",Table2[[#This Row],[HDAP Request]],0))</f>
        <v>0</v>
      </c>
      <c r="AA26" s="96">
        <v>0</v>
      </c>
      <c r="AB26" s="31">
        <f>IF(Table2[[#This Row],[Funding Result]]="","",IF(LEFT(Table2[[#This Row],[Funding Result]],6)="Funded",Table2[[#This Row],[HDL
Requested]],0))</f>
        <v>0</v>
      </c>
      <c r="AC26" s="59"/>
      <c r="AD26" s="59"/>
    </row>
    <row r="27" spans="1:30" s="94" customFormat="1" x14ac:dyDescent="0.3">
      <c r="A27" s="59"/>
      <c r="B27" s="29" t="s">
        <v>193</v>
      </c>
      <c r="C27" s="29" t="s">
        <v>138</v>
      </c>
      <c r="D27" s="116" t="s">
        <v>261</v>
      </c>
      <c r="E27" s="29" t="s">
        <v>37</v>
      </c>
      <c r="F27" s="29" t="s">
        <v>27</v>
      </c>
      <c r="G27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7" s="29" t="s">
        <v>195</v>
      </c>
      <c r="I27" s="29" t="s">
        <v>14</v>
      </c>
      <c r="J27" s="29" t="s">
        <v>10</v>
      </c>
      <c r="K27" s="30">
        <v>81</v>
      </c>
      <c r="L27" s="29" t="s">
        <v>48</v>
      </c>
      <c r="M27" s="47">
        <v>5</v>
      </c>
      <c r="N27" s="47">
        <v>0</v>
      </c>
      <c r="O27" s="47">
        <v>0</v>
      </c>
      <c r="P27" s="47">
        <v>0</v>
      </c>
      <c r="Q27" s="47">
        <v>0</v>
      </c>
      <c r="R27" s="47">
        <v>5</v>
      </c>
      <c r="S27" s="47">
        <v>4</v>
      </c>
      <c r="T27" s="14">
        <f t="shared" si="0"/>
        <v>14</v>
      </c>
      <c r="U27" s="47">
        <v>0</v>
      </c>
      <c r="V27" s="47">
        <v>9</v>
      </c>
      <c r="W27" s="109">
        <v>0.24199999999999999</v>
      </c>
      <c r="X27" s="53" t="s">
        <v>209</v>
      </c>
      <c r="Y27" s="31">
        <v>2699000</v>
      </c>
      <c r="Z27" s="31">
        <f>IF(Table2[[#This Row],[Funding Result]]="","",IF(LEFT(Table2[[#This Row],[Funding Result]],6)="Funded",Table2[[#This Row],[HDAP Request]],0))</f>
        <v>0</v>
      </c>
      <c r="AA27" s="96">
        <v>2000000</v>
      </c>
      <c r="AB27" s="31">
        <f>IF(Table2[[#This Row],[Funding Result]]="","",IF(LEFT(Table2[[#This Row],[Funding Result]],6)="Funded",Table2[[#This Row],[HDL
Requested]],0))</f>
        <v>0</v>
      </c>
      <c r="AC27" s="59"/>
      <c r="AD27" s="59"/>
    </row>
    <row r="28" spans="1:30" s="94" customFormat="1" x14ac:dyDescent="0.3">
      <c r="A28" s="59"/>
      <c r="B28" s="29" t="s">
        <v>57</v>
      </c>
      <c r="C28" s="29" t="s">
        <v>105</v>
      </c>
      <c r="D28" s="116" t="s">
        <v>261</v>
      </c>
      <c r="E28" s="29" t="s">
        <v>26</v>
      </c>
      <c r="F28" s="29" t="s">
        <v>27</v>
      </c>
      <c r="G28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8" s="29" t="s">
        <v>196</v>
      </c>
      <c r="I28" s="29" t="s">
        <v>14</v>
      </c>
      <c r="J28" s="29" t="s">
        <v>10</v>
      </c>
      <c r="K28" s="30">
        <v>146</v>
      </c>
      <c r="L28" s="29" t="s">
        <v>165</v>
      </c>
      <c r="M28" s="47">
        <v>0</v>
      </c>
      <c r="N28" s="47">
        <v>0</v>
      </c>
      <c r="O28" s="47">
        <v>0</v>
      </c>
      <c r="P28" s="47">
        <v>4</v>
      </c>
      <c r="Q28" s="47">
        <v>0</v>
      </c>
      <c r="R28" s="47">
        <v>5</v>
      </c>
      <c r="S28" s="47">
        <v>5</v>
      </c>
      <c r="T28" s="14">
        <f t="shared" si="0"/>
        <v>14</v>
      </c>
      <c r="U28" s="47">
        <v>1</v>
      </c>
      <c r="V28" s="47">
        <v>15</v>
      </c>
      <c r="W28" s="109">
        <v>0.24199999999999999</v>
      </c>
      <c r="X28" s="53" t="s">
        <v>209</v>
      </c>
      <c r="Y28" s="31">
        <v>3000000</v>
      </c>
      <c r="Z28" s="31">
        <f>IF(Table2[[#This Row],[Funding Result]]="","",IF(LEFT(Table2[[#This Row],[Funding Result]],6)="Funded",Table2[[#This Row],[HDAP Request]],0))</f>
        <v>0</v>
      </c>
      <c r="AA28" s="96">
        <v>0</v>
      </c>
      <c r="AB28" s="31">
        <f>IF(Table2[[#This Row],[Funding Result]]="","",IF(LEFT(Table2[[#This Row],[Funding Result]],6)="Funded",Table2[[#This Row],[HDL
Requested]],0))</f>
        <v>0</v>
      </c>
      <c r="AC28" s="59"/>
      <c r="AD28" s="59"/>
    </row>
    <row r="29" spans="1:30" s="94" customFormat="1" x14ac:dyDescent="0.3">
      <c r="A29" s="59"/>
      <c r="B29" s="29" t="s">
        <v>259</v>
      </c>
      <c r="C29" s="29" t="s">
        <v>142</v>
      </c>
      <c r="D29" s="116" t="s">
        <v>261</v>
      </c>
      <c r="E29" s="29" t="s">
        <v>177</v>
      </c>
      <c r="F29" s="29" t="s">
        <v>20</v>
      </c>
      <c r="G29" s="29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29" s="29" t="s">
        <v>196</v>
      </c>
      <c r="I29" s="29" t="s">
        <v>14</v>
      </c>
      <c r="J29" s="29" t="s">
        <v>10</v>
      </c>
      <c r="K29" s="30">
        <v>176</v>
      </c>
      <c r="L29" s="29" t="s">
        <v>48</v>
      </c>
      <c r="M29" s="47">
        <v>0</v>
      </c>
      <c r="N29" s="47">
        <v>3</v>
      </c>
      <c r="O29" s="47">
        <v>0</v>
      </c>
      <c r="P29" s="47">
        <v>0</v>
      </c>
      <c r="Q29" s="47">
        <v>0</v>
      </c>
      <c r="R29" s="47">
        <v>3</v>
      </c>
      <c r="S29" s="47">
        <v>5</v>
      </c>
      <c r="T29" s="14">
        <f t="shared" si="0"/>
        <v>11</v>
      </c>
      <c r="U29" s="47">
        <v>0</v>
      </c>
      <c r="V29" s="47">
        <v>53</v>
      </c>
      <c r="W29" s="109">
        <v>0.219</v>
      </c>
      <c r="X29" s="53" t="s">
        <v>209</v>
      </c>
      <c r="Y29" s="31">
        <v>2699000</v>
      </c>
      <c r="Z29" s="95">
        <f>IF(Table2[[#This Row],[Funding Result]]="","",IF(LEFT(Table2[[#This Row],[Funding Result]],6)="Funded",Table2[[#This Row],[HDAP Request]],0))</f>
        <v>0</v>
      </c>
      <c r="AA29" s="96">
        <v>0</v>
      </c>
      <c r="AB29" s="31">
        <f>IF(Table2[[#This Row],[Funding Result]]="","",IF(LEFT(Table2[[#This Row],[Funding Result]],6)="Funded",Table2[[#This Row],[HDL
Requested]],0))</f>
        <v>0</v>
      </c>
      <c r="AC29" s="59"/>
      <c r="AD29" s="59"/>
    </row>
    <row r="30" spans="1:30" s="94" customFormat="1" x14ac:dyDescent="0.3">
      <c r="A30" s="59"/>
      <c r="B30" s="33" t="s">
        <v>94</v>
      </c>
      <c r="C30" s="33" t="s">
        <v>134</v>
      </c>
      <c r="D30" s="116" t="s">
        <v>261</v>
      </c>
      <c r="E30" s="33" t="s">
        <v>23</v>
      </c>
      <c r="F30" s="33" t="s">
        <v>23</v>
      </c>
      <c r="G30" s="33" t="str">
        <f>IF(SUM(IFERROR(IF(VLOOKUP(Table2[[#This Row],[City]],Data!$E$2:$E$16,1,FALSE)=Table2[[#This Row],[City]],1,0),0)+IFERROR(IF(VLOOKUP(Table2[[#This Row],[County]],Data!$G$2:$G$9,1,FALSE)=Table2[[#This Row],[County]],1,0),0))&gt;0,"Yes","No")</f>
        <v>Yes</v>
      </c>
      <c r="H30" s="33" t="s">
        <v>196</v>
      </c>
      <c r="I30" s="33" t="s">
        <v>14</v>
      </c>
      <c r="J30" s="33" t="s">
        <v>10</v>
      </c>
      <c r="K30" s="90">
        <v>63</v>
      </c>
      <c r="L30" s="33" t="s">
        <v>25</v>
      </c>
      <c r="M30" s="89">
        <v>0</v>
      </c>
      <c r="N30" s="89">
        <v>0</v>
      </c>
      <c r="O30" s="89">
        <v>0</v>
      </c>
      <c r="P30" s="89">
        <v>4</v>
      </c>
      <c r="Q30" s="89">
        <v>0</v>
      </c>
      <c r="R30" s="89">
        <v>3</v>
      </c>
      <c r="S30" s="89">
        <v>1</v>
      </c>
      <c r="T30" s="92">
        <f t="shared" si="0"/>
        <v>8</v>
      </c>
      <c r="U30" s="89">
        <v>0</v>
      </c>
      <c r="V30" s="89">
        <v>0</v>
      </c>
      <c r="W30" s="110">
        <v>0.26200000000000001</v>
      </c>
      <c r="X30" s="93" t="s">
        <v>209</v>
      </c>
      <c r="Y30" s="91">
        <v>2999000</v>
      </c>
      <c r="Z30" s="91">
        <f>IF(Table2[[#This Row],[Funding Result]]="","",IF(LEFT(Table2[[#This Row],[Funding Result]],6)="Funded",Table2[[#This Row],[HDAP Request]],0))</f>
        <v>0</v>
      </c>
      <c r="AA30" s="97">
        <v>0</v>
      </c>
      <c r="AB30" s="31">
        <f>IF(Table2[[#This Row],[Funding Result]]="","",IF(LEFT(Table2[[#This Row],[Funding Result]],6)="Funded",Table2[[#This Row],[HDL
Requested]],0))</f>
        <v>0</v>
      </c>
      <c r="AC30" s="59"/>
      <c r="AD30" s="59"/>
    </row>
    <row r="31" spans="1:30" ht="5.0999999999999996" customHeight="1" x14ac:dyDescent="0.25">
      <c r="A31" s="61"/>
      <c r="B31" s="71"/>
      <c r="C31" s="71"/>
      <c r="D31" s="71"/>
      <c r="E31" s="71"/>
      <c r="F31" s="71"/>
      <c r="G31" s="71"/>
      <c r="H31" s="71"/>
      <c r="I31" s="11"/>
      <c r="J31" s="71"/>
      <c r="K31" s="72"/>
      <c r="L31" s="71"/>
      <c r="M31" s="57"/>
      <c r="N31" s="57"/>
      <c r="O31" s="57"/>
      <c r="P31" s="57"/>
      <c r="Q31" s="57"/>
      <c r="R31" s="57"/>
      <c r="S31" s="57"/>
      <c r="T31" s="75"/>
      <c r="U31" s="87"/>
      <c r="V31" s="87"/>
      <c r="W31" s="111"/>
      <c r="X31" s="81"/>
      <c r="Y31" s="81"/>
      <c r="Z31" s="81"/>
    </row>
    <row r="32" spans="1:30" x14ac:dyDescent="0.25">
      <c r="A32" s="61"/>
      <c r="B32" s="61"/>
      <c r="C32" s="61"/>
      <c r="D32" s="61"/>
      <c r="E32" s="61"/>
      <c r="F32" s="61"/>
      <c r="G32" s="61"/>
      <c r="H32" s="61"/>
      <c r="I32" s="77" t="s">
        <v>183</v>
      </c>
      <c r="J32" s="46">
        <f>SUM(COUNTA(J16:J30))</f>
        <v>15</v>
      </c>
      <c r="K32" s="74">
        <f>SUM(K16:K30)</f>
        <v>1291</v>
      </c>
      <c r="L32" s="81"/>
      <c r="M32" s="61"/>
      <c r="N32" s="61"/>
      <c r="O32" s="61"/>
      <c r="P32" s="61"/>
      <c r="Q32" s="61"/>
      <c r="R32" s="61"/>
      <c r="S32" s="61"/>
      <c r="T32" s="61"/>
      <c r="U32" s="38"/>
      <c r="V32" s="38"/>
      <c r="W32" s="106"/>
      <c r="X32" s="70" t="s">
        <v>252</v>
      </c>
      <c r="Y32" s="73">
        <f>SUM(Table2[HDAP Request])</f>
        <v>39196000</v>
      </c>
      <c r="Z32" s="73">
        <f>SUM(Table2[HDAP Reserved])</f>
        <v>13680000</v>
      </c>
      <c r="AA32" s="73">
        <f>SUM(Table2[HDL
Requested])</f>
        <v>12450000</v>
      </c>
      <c r="AB32" s="73">
        <f>SUM(Table2[HDL
Awarded])</f>
        <v>7450000</v>
      </c>
    </row>
    <row r="33" spans="1:26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38"/>
      <c r="V33" s="38"/>
      <c r="W33" s="106"/>
      <c r="X33" s="61"/>
      <c r="Y33" s="61"/>
      <c r="Z33" s="61"/>
    </row>
    <row r="34" spans="1:26" hidden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38"/>
      <c r="V34" s="38"/>
      <c r="W34" s="106"/>
      <c r="X34" s="61"/>
      <c r="Y34" s="61"/>
      <c r="Z34" s="61"/>
    </row>
    <row r="35" spans="1:26" hidden="1" x14ac:dyDescent="0.25"/>
    <row r="36" spans="1:26" hidden="1" x14ac:dyDescent="0.25"/>
    <row r="37" spans="1:26" hidden="1" x14ac:dyDescent="0.25"/>
    <row r="38" spans="1:26" hidden="1" x14ac:dyDescent="0.25"/>
  </sheetData>
  <mergeCells count="11">
    <mergeCell ref="B9:D9"/>
    <mergeCell ref="B10:D10"/>
    <mergeCell ref="X12:Z12"/>
    <mergeCell ref="B13:L13"/>
    <mergeCell ref="B12:L12"/>
    <mergeCell ref="M13:T13"/>
    <mergeCell ref="M12:T12"/>
    <mergeCell ref="U12:W12"/>
    <mergeCell ref="U13:W13"/>
    <mergeCell ref="X13:AB13"/>
    <mergeCell ref="B8:G8"/>
  </mergeCells>
  <conditionalFormatting sqref="B16:AB30">
    <cfRule type="expression" dxfId="54" priority="58">
      <formula>LEFT($X16,6)="Funded"</formula>
    </cfRule>
  </conditionalFormatting>
  <dataValidations count="7">
    <dataValidation type="list" allowBlank="1" showInputMessage="1" showErrorMessage="1" sqref="M16:M30">
      <formula1>"0,2,3,4,5"</formula1>
    </dataValidation>
    <dataValidation type="list" allowBlank="1" showInputMessage="1" showErrorMessage="1" sqref="N16:N30">
      <formula1>"0,3,5"</formula1>
    </dataValidation>
    <dataValidation type="list" allowBlank="1" showInputMessage="1" showErrorMessage="1" sqref="Q16:Q30">
      <formula1>"0,4,5"</formula1>
    </dataValidation>
    <dataValidation type="list" allowBlank="1" showInputMessage="1" showErrorMessage="1" sqref="R16:R30">
      <formula1>"0,3,4,5"</formula1>
    </dataValidation>
    <dataValidation type="list" allowBlank="1" showInputMessage="1" showErrorMessage="1" sqref="O16:O30">
      <formula1>"0,5,"</formula1>
    </dataValidation>
    <dataValidation type="list" allowBlank="1" showInputMessage="1" showErrorMessage="1" sqref="P16:P30">
      <formula1>"0,4"</formula1>
    </dataValidation>
    <dataValidation type="list" allowBlank="1" showInputMessage="1" showErrorMessage="1" sqref="S16:S30">
      <formula1>"0,1,2,3,4,5"</formula1>
    </dataValidation>
  </dataValidations>
  <hyperlinks>
    <hyperlink ref="D16" r:id="rId1"/>
    <hyperlink ref="D17" r:id="rId2"/>
    <hyperlink ref="D18" r:id="rId3"/>
    <hyperlink ref="D19" r:id="rId4"/>
    <hyperlink ref="D20" r:id="rId5"/>
    <hyperlink ref="D21" r:id="rId6"/>
    <hyperlink ref="D22" r:id="rId7"/>
    <hyperlink ref="D23" r:id="rId8"/>
    <hyperlink ref="D24" r:id="rId9"/>
    <hyperlink ref="D25" r:id="rId10"/>
    <hyperlink ref="D26" r:id="rId11"/>
    <hyperlink ref="D27" r:id="rId12"/>
    <hyperlink ref="D28" r:id="rId13"/>
    <hyperlink ref="D29" r:id="rId14"/>
    <hyperlink ref="D30" r:id="rId15"/>
  </hyperlinks>
  <pageMargins left="0.7" right="0.7" top="0.75" bottom="0.75" header="0.3" footer="0.3"/>
  <pageSetup paperSize="3" scale="94" fitToWidth="3" orientation="landscape" r:id="rId16"/>
  <headerFooter>
    <oddFooter>&amp;L&amp;"Arial,Regular"November 9, 2022&amp;R&amp;"Arial,Regular"Page &amp;P of &amp;N</oddFooter>
  </headerFooter>
  <ignoredErrors>
    <ignoredError sqref="G16:G30 Z17:Z30 AB16:AB30" unlockedFormula="1"/>
  </ignoredErrors>
  <drawing r:id="rId17"/>
  <tableParts count="1">
    <tablePart r:id="rId1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Data!$A$2:$A$10</xm:f>
          </x14:formula1>
          <xm:sqref>X16:X30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zoomScale="90" zoomScaleNormal="90" workbookViewId="0">
      <pane xSplit="3" topLeftCell="D1" activePane="topRight" state="frozen"/>
      <selection pane="topRight" activeCell="A28" sqref="A28"/>
    </sheetView>
  </sheetViews>
  <sheetFormatPr defaultColWidth="0" defaultRowHeight="13.8" zeroHeight="1" x14ac:dyDescent="0.25"/>
  <cols>
    <col min="1" max="1" width="2.77734375" style="2" customWidth="1"/>
    <col min="2" max="2" width="13.44140625" style="2" customWidth="1"/>
    <col min="3" max="3" width="38.33203125" style="2" bestFit="1" customWidth="1"/>
    <col min="4" max="4" width="12.77734375" style="2" customWidth="1"/>
    <col min="5" max="5" width="16.5546875" style="2" customWidth="1"/>
    <col min="6" max="6" width="13.44140625" style="2" bestFit="1" customWidth="1"/>
    <col min="7" max="8" width="13.44140625" style="2" customWidth="1"/>
    <col min="9" max="9" width="17" style="2" bestFit="1" customWidth="1"/>
    <col min="10" max="10" width="20.88671875" style="2" customWidth="1"/>
    <col min="11" max="11" width="21.109375" style="2" customWidth="1"/>
    <col min="12" max="12" width="9.77734375" style="2" customWidth="1"/>
    <col min="13" max="13" width="40.109375" style="2" bestFit="1" customWidth="1"/>
    <col min="14" max="14" width="37.33203125" style="2" customWidth="1"/>
    <col min="15" max="18" width="15.77734375" style="2" customWidth="1"/>
    <col min="19" max="19" width="2.77734375" style="2" customWidth="1"/>
    <col min="20" max="16384" width="8.88671875" style="2" hidden="1"/>
  </cols>
  <sheetData>
    <row r="1" spans="1:19" ht="15" customHeight="1" x14ac:dyDescent="0.25">
      <c r="A1" s="61"/>
      <c r="B1" s="81"/>
      <c r="C1" s="81"/>
      <c r="D1" s="81"/>
      <c r="E1" s="61"/>
      <c r="F1" s="61"/>
      <c r="G1" s="61"/>
      <c r="H1" s="61"/>
      <c r="I1" s="61"/>
      <c r="J1" s="61"/>
      <c r="K1" s="61"/>
      <c r="L1" s="61"/>
      <c r="M1" s="36"/>
      <c r="N1" s="36"/>
      <c r="O1" s="36"/>
      <c r="P1" s="36"/>
      <c r="Q1" s="61"/>
      <c r="R1" s="61"/>
      <c r="S1" s="61"/>
    </row>
    <row r="2" spans="1:19" ht="15" customHeight="1" x14ac:dyDescent="0.25">
      <c r="A2" s="61"/>
      <c r="B2" s="81"/>
      <c r="C2" s="81"/>
      <c r="D2" s="8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5" customHeight="1" x14ac:dyDescent="0.25">
      <c r="A3" s="61"/>
      <c r="B3" s="81"/>
      <c r="C3" s="81"/>
      <c r="D3" s="8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1" customHeight="1" x14ac:dyDescent="0.25">
      <c r="A4" s="61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61"/>
    </row>
    <row r="5" spans="1:19" ht="5.0999999999999996" customHeight="1" x14ac:dyDescent="0.25">
      <c r="A5" s="6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61"/>
      <c r="N5" s="61"/>
      <c r="O5" s="61"/>
      <c r="P5" s="61"/>
      <c r="Q5" s="61"/>
      <c r="R5" s="61"/>
      <c r="S5" s="61"/>
    </row>
    <row r="6" spans="1:19" x14ac:dyDescent="0.25">
      <c r="A6" s="6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61"/>
      <c r="N6" s="61"/>
      <c r="O6" s="61"/>
      <c r="P6" s="61"/>
      <c r="Q6" s="61"/>
      <c r="R6" s="61"/>
      <c r="S6" s="61"/>
    </row>
    <row r="7" spans="1:19" x14ac:dyDescent="0.25">
      <c r="A7" s="61"/>
      <c r="B7" s="61"/>
      <c r="C7" s="61"/>
      <c r="D7" s="113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17.399999999999999" x14ac:dyDescent="0.25">
      <c r="A8" s="61"/>
      <c r="B8" s="122" t="s">
        <v>271</v>
      </c>
      <c r="C8" s="122"/>
      <c r="D8" s="122"/>
      <c r="E8" s="122"/>
      <c r="F8" s="122"/>
      <c r="G8" s="122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1.95" customHeight="1" x14ac:dyDescent="0.25">
      <c r="A9" s="61"/>
      <c r="B9" s="123"/>
      <c r="C9" s="123"/>
      <c r="D9" s="123"/>
      <c r="E9" s="12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17.399999999999999" x14ac:dyDescent="0.25">
      <c r="A10" s="61"/>
      <c r="B10" s="124" t="s">
        <v>266</v>
      </c>
      <c r="C10" s="124"/>
      <c r="D10" s="124"/>
      <c r="E10" s="124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x14ac:dyDescent="0.25">
      <c r="A11" s="61"/>
      <c r="B11" s="61"/>
      <c r="C11" s="61"/>
      <c r="D11" s="113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s="101" customFormat="1" ht="14.4" x14ac:dyDescent="0.3">
      <c r="A12" s="100"/>
      <c r="B12" s="119" t="s">
        <v>189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 t="s">
        <v>253</v>
      </c>
      <c r="O12" s="119"/>
      <c r="P12" s="119"/>
      <c r="Q12" s="100"/>
      <c r="R12" s="100"/>
      <c r="S12" s="100"/>
    </row>
    <row r="13" spans="1:19" ht="5.0999999999999996" customHeight="1" x14ac:dyDescent="0.25">
      <c r="A13" s="61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20"/>
      <c r="O13" s="120"/>
      <c r="P13" s="120"/>
      <c r="Q13" s="120"/>
      <c r="R13" s="120"/>
      <c r="S13" s="61"/>
    </row>
    <row r="14" spans="1:19" ht="5.0999999999999996" customHeight="1" x14ac:dyDescent="0.25">
      <c r="A14" s="61"/>
      <c r="B14" s="36"/>
      <c r="C14" s="36"/>
      <c r="D14" s="113"/>
      <c r="E14" s="36"/>
      <c r="F14" s="36"/>
      <c r="G14" s="36"/>
      <c r="H14" s="36"/>
      <c r="I14" s="56"/>
      <c r="J14" s="36"/>
      <c r="K14" s="36"/>
      <c r="L14" s="35"/>
      <c r="M14" s="35"/>
      <c r="N14" s="35"/>
      <c r="O14" s="36"/>
      <c r="P14" s="36"/>
      <c r="Q14" s="61"/>
      <c r="R14" s="61"/>
      <c r="S14" s="61"/>
    </row>
    <row r="15" spans="1:19" s="45" customFormat="1" ht="66" customHeight="1" x14ac:dyDescent="0.25">
      <c r="A15" s="25"/>
      <c r="B15" s="4" t="s">
        <v>0</v>
      </c>
      <c r="C15" s="4" t="s">
        <v>1</v>
      </c>
      <c r="D15" s="4" t="s">
        <v>260</v>
      </c>
      <c r="E15" s="4" t="s">
        <v>2</v>
      </c>
      <c r="F15" s="4" t="s">
        <v>3</v>
      </c>
      <c r="G15" s="4" t="s">
        <v>254</v>
      </c>
      <c r="H15" s="4" t="s">
        <v>258</v>
      </c>
      <c r="I15" s="4" t="s">
        <v>194</v>
      </c>
      <c r="J15" s="4" t="s">
        <v>4</v>
      </c>
      <c r="K15" s="4" t="s">
        <v>5</v>
      </c>
      <c r="L15" s="8" t="s">
        <v>6</v>
      </c>
      <c r="M15" s="4" t="s">
        <v>7</v>
      </c>
      <c r="N15" s="4" t="s">
        <v>203</v>
      </c>
      <c r="O15" s="4" t="s">
        <v>176</v>
      </c>
      <c r="P15" s="4" t="s">
        <v>204</v>
      </c>
      <c r="Q15" s="4" t="s">
        <v>267</v>
      </c>
      <c r="R15" s="4" t="s">
        <v>262</v>
      </c>
      <c r="S15" s="25"/>
    </row>
    <row r="16" spans="1:19" ht="15" customHeight="1" x14ac:dyDescent="0.25">
      <c r="A16" s="61"/>
      <c r="B16" s="5" t="s">
        <v>60</v>
      </c>
      <c r="C16" s="5" t="s">
        <v>107</v>
      </c>
      <c r="D16" s="114" t="s">
        <v>261</v>
      </c>
      <c r="E16" s="5" t="s">
        <v>22</v>
      </c>
      <c r="F16" s="5" t="s">
        <v>20</v>
      </c>
      <c r="G16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16" s="5" t="str">
        <f>IFERROR(IF(VLOOKUP(Table3[[#This Row],[County]],Data!$C$2:$C$33,1,FALSE)=Table3[[#This Row],[County]],"Yes","No"),"No")</f>
        <v>No</v>
      </c>
      <c r="I16" s="5" t="s">
        <v>196</v>
      </c>
      <c r="J16" s="5" t="s">
        <v>9</v>
      </c>
      <c r="K16" s="5" t="s">
        <v>175</v>
      </c>
      <c r="L16" s="6">
        <v>84</v>
      </c>
      <c r="M16" s="5" t="s">
        <v>44</v>
      </c>
      <c r="N16" s="39" t="s">
        <v>251</v>
      </c>
      <c r="O16" s="7">
        <v>4500000</v>
      </c>
      <c r="P16" s="31">
        <f>IF(LEFT(Table3[[#This Row],[Funding Result]],10)="Not Funded",0,Table3[[#This Row],[Total HDAP Request]])</f>
        <v>4500000</v>
      </c>
      <c r="Q16" s="37">
        <v>2000000</v>
      </c>
      <c r="R16" s="37">
        <f>IF(LEFT(Table3[[#This Row],[Funding Result]],10)="Not Funded",0,Table3[[#This Row],[HDL Request]])</f>
        <v>2000000</v>
      </c>
      <c r="S16" s="61"/>
    </row>
    <row r="17" spans="1:19" s="36" customFormat="1" ht="15" customHeight="1" x14ac:dyDescent="0.25">
      <c r="A17" s="61"/>
      <c r="B17" s="26" t="s">
        <v>62</v>
      </c>
      <c r="C17" s="26" t="s">
        <v>109</v>
      </c>
      <c r="D17" s="114" t="s">
        <v>261</v>
      </c>
      <c r="E17" s="26" t="s">
        <v>26</v>
      </c>
      <c r="F17" s="26" t="s">
        <v>27</v>
      </c>
      <c r="G17" s="26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17" s="26" t="str">
        <f>IFERROR(IF(VLOOKUP(Table3[[#This Row],[County]],Data!$C$2:$C$33,1,FALSE)=Table3[[#This Row],[County]],"Yes","No"),"No")</f>
        <v>No</v>
      </c>
      <c r="I17" s="26" t="s">
        <v>195</v>
      </c>
      <c r="J17" s="26" t="s">
        <v>9</v>
      </c>
      <c r="K17" s="26" t="s">
        <v>24</v>
      </c>
      <c r="L17" s="27">
        <v>45</v>
      </c>
      <c r="M17" s="26" t="s">
        <v>28</v>
      </c>
      <c r="N17" s="39" t="s">
        <v>251</v>
      </c>
      <c r="O17" s="18">
        <v>5500000</v>
      </c>
      <c r="P17" s="31">
        <f>IF(LEFT(Table3[[#This Row],[Funding Result]],10)="Not Funded",0,Table3[[#This Row],[Total HDAP Request]])</f>
        <v>5500000</v>
      </c>
      <c r="Q17" s="52">
        <v>2000000</v>
      </c>
      <c r="R17" s="52">
        <f>IF(LEFT(Table3[[#This Row],[Funding Result]],10)="Not Funded",0,Table3[[#This Row],[HDL Request]])</f>
        <v>2000000</v>
      </c>
      <c r="S17" s="61"/>
    </row>
    <row r="18" spans="1:19" ht="15" customHeight="1" x14ac:dyDescent="0.25">
      <c r="A18" s="61"/>
      <c r="B18" s="5" t="s">
        <v>63</v>
      </c>
      <c r="C18" s="5" t="s">
        <v>29</v>
      </c>
      <c r="D18" s="114" t="s">
        <v>261</v>
      </c>
      <c r="E18" s="5" t="s">
        <v>11</v>
      </c>
      <c r="F18" s="5" t="s">
        <v>12</v>
      </c>
      <c r="G18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18" s="5" t="str">
        <f>IFERROR(IF(VLOOKUP(Table3[[#This Row],[County]],Data!$C$2:$C$33,1,FALSE)=Table3[[#This Row],[County]],"Yes","No"),"No")</f>
        <v>No</v>
      </c>
      <c r="I18" s="5" t="s">
        <v>195</v>
      </c>
      <c r="J18" s="5" t="s">
        <v>9</v>
      </c>
      <c r="K18" s="5" t="s">
        <v>175</v>
      </c>
      <c r="L18" s="6">
        <v>50</v>
      </c>
      <c r="M18" s="5" t="s">
        <v>30</v>
      </c>
      <c r="N18" s="39" t="s">
        <v>251</v>
      </c>
      <c r="O18" s="7">
        <v>4500000</v>
      </c>
      <c r="P18" s="31">
        <f>IF(LEFT(Table3[[#This Row],[Funding Result]],10)="Not Funded",0,Table3[[#This Row],[Total HDAP Request]])</f>
        <v>4500000</v>
      </c>
      <c r="Q18" s="37">
        <v>1250000</v>
      </c>
      <c r="R18" s="37">
        <f>IF(LEFT(Table3[[#This Row],[Funding Result]],10)="Not Funded",0,Table3[[#This Row],[HDL Request]])</f>
        <v>1250000</v>
      </c>
      <c r="S18" s="61"/>
    </row>
    <row r="19" spans="1:19" ht="15" customHeight="1" x14ac:dyDescent="0.25">
      <c r="A19" s="61"/>
      <c r="B19" s="26" t="s">
        <v>69</v>
      </c>
      <c r="C19" s="26" t="s">
        <v>114</v>
      </c>
      <c r="D19" s="114" t="s">
        <v>261</v>
      </c>
      <c r="E19" s="26" t="s">
        <v>26</v>
      </c>
      <c r="F19" s="26" t="s">
        <v>27</v>
      </c>
      <c r="G19" s="26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19" s="26" t="str">
        <f>IFERROR(IF(VLOOKUP(Table3[[#This Row],[County]],Data!$C$2:$C$33,1,FALSE)=Table3[[#This Row],[County]],"Yes","No"),"No")</f>
        <v>No</v>
      </c>
      <c r="I19" s="26" t="s">
        <v>195</v>
      </c>
      <c r="J19" s="26" t="s">
        <v>9</v>
      </c>
      <c r="K19" s="26" t="s">
        <v>24</v>
      </c>
      <c r="L19" s="27">
        <v>48</v>
      </c>
      <c r="M19" s="26" t="s">
        <v>28</v>
      </c>
      <c r="N19" s="39" t="s">
        <v>251</v>
      </c>
      <c r="O19" s="18">
        <v>5500000</v>
      </c>
      <c r="P19" s="31">
        <f>IF(LEFT(Table3[[#This Row],[Funding Result]],10)="Not Funded",0,Table3[[#This Row],[Total HDAP Request]])</f>
        <v>5500000</v>
      </c>
      <c r="Q19" s="37">
        <v>2000000</v>
      </c>
      <c r="R19" s="37">
        <f>IF(LEFT(Table3[[#This Row],[Funding Result]],10)="Not Funded",0,Table3[[#This Row],[HDL Request]])</f>
        <v>2000000</v>
      </c>
      <c r="S19" s="61"/>
    </row>
    <row r="20" spans="1:19" ht="15" customHeight="1" x14ac:dyDescent="0.25">
      <c r="A20" s="61"/>
      <c r="B20" s="26" t="s">
        <v>74</v>
      </c>
      <c r="C20" s="26" t="s">
        <v>145</v>
      </c>
      <c r="D20" s="114" t="s">
        <v>261</v>
      </c>
      <c r="E20" s="5" t="s">
        <v>11</v>
      </c>
      <c r="F20" s="5" t="s">
        <v>12</v>
      </c>
      <c r="G20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0" s="5" t="str">
        <f>IFERROR(IF(VLOOKUP(Table3[[#This Row],[County]],Data!$C$2:$C$33,1,FALSE)=Table3[[#This Row],[County]],"Yes","No"),"No")</f>
        <v>No</v>
      </c>
      <c r="I20" s="5" t="s">
        <v>195</v>
      </c>
      <c r="J20" s="5" t="s">
        <v>9</v>
      </c>
      <c r="K20" s="5" t="s">
        <v>24</v>
      </c>
      <c r="L20" s="6">
        <v>53</v>
      </c>
      <c r="M20" s="5" t="s">
        <v>169</v>
      </c>
      <c r="N20" s="39" t="s">
        <v>251</v>
      </c>
      <c r="O20" s="7">
        <v>5500000</v>
      </c>
      <c r="P20" s="31">
        <f>IF(LEFT(Table3[[#This Row],[Funding Result]],10)="Not Funded",0,Table3[[#This Row],[Total HDAP Request]])</f>
        <v>5500000</v>
      </c>
      <c r="Q20" s="37">
        <v>2000000</v>
      </c>
      <c r="R20" s="37">
        <f>IF(LEFT(Table3[[#This Row],[Funding Result]],10)="Not Funded",0,Table3[[#This Row],[HDL Request]])</f>
        <v>2000000</v>
      </c>
      <c r="S20" s="61"/>
    </row>
    <row r="21" spans="1:19" ht="15" customHeight="1" x14ac:dyDescent="0.25">
      <c r="A21" s="61"/>
      <c r="B21" s="5" t="s">
        <v>84</v>
      </c>
      <c r="C21" s="5" t="s">
        <v>126</v>
      </c>
      <c r="D21" s="114" t="s">
        <v>261</v>
      </c>
      <c r="E21" s="5" t="s">
        <v>22</v>
      </c>
      <c r="F21" s="5" t="s">
        <v>20</v>
      </c>
      <c r="G21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1" s="5" t="str">
        <f>IFERROR(IF(VLOOKUP(Table3[[#This Row],[County]],Data!$C$2:$C$33,1,FALSE)=Table3[[#This Row],[County]],"Yes","No"),"No")</f>
        <v>No</v>
      </c>
      <c r="I21" s="5" t="s">
        <v>196</v>
      </c>
      <c r="J21" s="5" t="s">
        <v>14</v>
      </c>
      <c r="K21" s="5" t="s">
        <v>175</v>
      </c>
      <c r="L21" s="6">
        <v>137</v>
      </c>
      <c r="M21" s="5" t="s">
        <v>170</v>
      </c>
      <c r="N21" s="39" t="s">
        <v>251</v>
      </c>
      <c r="O21" s="7">
        <v>3000000</v>
      </c>
      <c r="P21" s="31">
        <f>IF(LEFT(Table3[[#This Row],[Funding Result]],10)="Not Funded",0,Table3[[#This Row],[Total HDAP Request]])</f>
        <v>3000000</v>
      </c>
      <c r="Q21" s="37">
        <v>0</v>
      </c>
      <c r="R21" s="37">
        <f>IF(LEFT(Table3[[#This Row],[Funding Result]],10)="Not Funded",0,Table3[[#This Row],[HDL Request]])</f>
        <v>0</v>
      </c>
      <c r="S21" s="61"/>
    </row>
    <row r="22" spans="1:19" ht="15" customHeight="1" x14ac:dyDescent="0.25">
      <c r="A22" s="61"/>
      <c r="B22" s="5" t="s">
        <v>90</v>
      </c>
      <c r="C22" s="5" t="s">
        <v>130</v>
      </c>
      <c r="D22" s="114" t="s">
        <v>261</v>
      </c>
      <c r="E22" s="5" t="s">
        <v>146</v>
      </c>
      <c r="F22" s="5" t="s">
        <v>147</v>
      </c>
      <c r="G22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2" s="5" t="str">
        <f>IFERROR(IF(VLOOKUP(Table3[[#This Row],[County]],Data!$C$2:$C$33,1,FALSE)=Table3[[#This Row],[County]],"Yes","No"),"No")</f>
        <v>No</v>
      </c>
      <c r="I22" s="5" t="s">
        <v>195</v>
      </c>
      <c r="J22" s="5" t="s">
        <v>9</v>
      </c>
      <c r="K22" s="5" t="s">
        <v>175</v>
      </c>
      <c r="L22" s="6">
        <v>40</v>
      </c>
      <c r="M22" s="5" t="s">
        <v>34</v>
      </c>
      <c r="N22" s="39" t="s">
        <v>251</v>
      </c>
      <c r="O22" s="7">
        <v>4500000</v>
      </c>
      <c r="P22" s="31">
        <f>IF(LEFT(Table3[[#This Row],[Funding Result]],10)="Not Funded",0,Table3[[#This Row],[Total HDAP Request]])</f>
        <v>4500000</v>
      </c>
      <c r="Q22" s="37">
        <v>2000000</v>
      </c>
      <c r="R22" s="37">
        <f>IF(LEFT(Table3[[#This Row],[Funding Result]],10)="Not Funded",0,Table3[[#This Row],[HDL Request]])</f>
        <v>2000000</v>
      </c>
      <c r="S22" s="61"/>
    </row>
    <row r="23" spans="1:19" ht="15" customHeight="1" x14ac:dyDescent="0.25">
      <c r="A23" s="61"/>
      <c r="B23" s="5" t="s">
        <v>92</v>
      </c>
      <c r="C23" s="5" t="s">
        <v>132</v>
      </c>
      <c r="D23" s="114" t="s">
        <v>261</v>
      </c>
      <c r="E23" s="5" t="s">
        <v>156</v>
      </c>
      <c r="F23" s="5" t="s">
        <v>20</v>
      </c>
      <c r="G23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3" s="5" t="str">
        <f>IFERROR(IF(VLOOKUP(Table3[[#This Row],[County]],Data!$C$2:$C$33,1,FALSE)=Table3[[#This Row],[County]],"Yes","No"),"No")</f>
        <v>No</v>
      </c>
      <c r="I23" s="5" t="s">
        <v>196</v>
      </c>
      <c r="J23" s="5" t="s">
        <v>9</v>
      </c>
      <c r="K23" s="5" t="s">
        <v>175</v>
      </c>
      <c r="L23" s="6">
        <v>82</v>
      </c>
      <c r="M23" s="5" t="s">
        <v>166</v>
      </c>
      <c r="N23" s="39" t="s">
        <v>251</v>
      </c>
      <c r="O23" s="7">
        <v>4500000</v>
      </c>
      <c r="P23" s="31">
        <f>IF(LEFT(Table3[[#This Row],[Funding Result]],10)="Not Funded",0,Table3[[#This Row],[Total HDAP Request]])</f>
        <v>4500000</v>
      </c>
      <c r="Q23" s="37">
        <v>2000000</v>
      </c>
      <c r="R23" s="37">
        <f>IF(LEFT(Table3[[#This Row],[Funding Result]],10)="Not Funded",0,Table3[[#This Row],[HDL Request]])</f>
        <v>2000000</v>
      </c>
      <c r="S23" s="61"/>
    </row>
    <row r="24" spans="1:19" ht="15" customHeight="1" x14ac:dyDescent="0.25">
      <c r="A24" s="61"/>
      <c r="B24" s="5" t="s">
        <v>97</v>
      </c>
      <c r="C24" s="5" t="s">
        <v>137</v>
      </c>
      <c r="D24" s="114" t="s">
        <v>261</v>
      </c>
      <c r="E24" s="5" t="s">
        <v>23</v>
      </c>
      <c r="F24" s="5" t="s">
        <v>23</v>
      </c>
      <c r="G24" s="5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4" s="5" t="str">
        <f>IFERROR(IF(VLOOKUP(Table3[[#This Row],[County]],Data!$C$2:$C$33,1,FALSE)=Table3[[#This Row],[County]],"Yes","No"),"No")</f>
        <v>No</v>
      </c>
      <c r="I24" s="5" t="s">
        <v>196</v>
      </c>
      <c r="J24" s="5" t="s">
        <v>14</v>
      </c>
      <c r="K24" s="5" t="s">
        <v>175</v>
      </c>
      <c r="L24" s="6">
        <v>35</v>
      </c>
      <c r="M24" s="5" t="s">
        <v>25</v>
      </c>
      <c r="N24" s="39" t="s">
        <v>251</v>
      </c>
      <c r="O24" s="7">
        <v>2316135</v>
      </c>
      <c r="P24" s="31">
        <f>IF(LEFT(Table3[[#This Row],[Funding Result]],10)="Not Funded",0,Table3[[#This Row],[Total HDAP Request]])</f>
        <v>2316135</v>
      </c>
      <c r="Q24" s="37">
        <v>0</v>
      </c>
      <c r="R24" s="37">
        <f>IF(LEFT(Table3[[#This Row],[Funding Result]],10)="Not Funded",0,Table3[[#This Row],[HDL Request]])</f>
        <v>0</v>
      </c>
      <c r="S24" s="61"/>
    </row>
    <row r="25" spans="1:19" ht="15" customHeight="1" x14ac:dyDescent="0.25">
      <c r="A25" s="61"/>
      <c r="B25" s="33" t="s">
        <v>99</v>
      </c>
      <c r="C25" s="33" t="s">
        <v>140</v>
      </c>
      <c r="D25" s="114" t="s">
        <v>261</v>
      </c>
      <c r="E25" s="20" t="s">
        <v>159</v>
      </c>
      <c r="F25" s="20" t="s">
        <v>160</v>
      </c>
      <c r="G25" s="20" t="str">
        <f>IF(SUM(IFERROR(IF(VLOOKUP(Table3[[#This Row],[City]],Data!$E$2:$E$16,1,FALSE)=Table3[[#This Row],[City]],1,0),0)+IFERROR(IF(VLOOKUP(Table3[[#This Row],[County]],Data!$G$2:$G$9,1,FALSE)=Table3[[#This Row],[County]],1,0),0))&gt;0,"Yes","No")</f>
        <v>Yes</v>
      </c>
      <c r="H25" s="20" t="str">
        <f>IFERROR(IF(VLOOKUP(Table3[[#This Row],[County]],Data!$C$2:$C$33,1,FALSE)=Table3[[#This Row],[County]],"Yes","No"),"No")</f>
        <v>No</v>
      </c>
      <c r="I25" s="20" t="s">
        <v>196</v>
      </c>
      <c r="J25" s="20" t="s">
        <v>9</v>
      </c>
      <c r="K25" s="5" t="s">
        <v>175</v>
      </c>
      <c r="L25" s="21">
        <v>120</v>
      </c>
      <c r="M25" s="20" t="s">
        <v>171</v>
      </c>
      <c r="N25" s="39" t="s">
        <v>251</v>
      </c>
      <c r="O25" s="22">
        <v>5500000</v>
      </c>
      <c r="P25" s="31">
        <f>IF(LEFT(Table3[[#This Row],[Funding Result]],10)="Not Funded",0,Table3[[#This Row],[Total HDAP Request]])</f>
        <v>5500000</v>
      </c>
      <c r="Q25" s="37">
        <v>2000000</v>
      </c>
      <c r="R25" s="37">
        <f>IF(LEFT(Table3[[#This Row],[Funding Result]],10)="Not Funded",0,Table3[[#This Row],[HDL Request]])</f>
        <v>2000000</v>
      </c>
      <c r="S25" s="61"/>
    </row>
    <row r="26" spans="1:19" ht="5.0999999999999996" customHeight="1" x14ac:dyDescent="0.25">
      <c r="A26" s="61"/>
      <c r="B26" s="61"/>
      <c r="C26" s="61"/>
      <c r="D26" s="113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x14ac:dyDescent="0.25">
      <c r="A27" s="61"/>
      <c r="B27" s="61"/>
      <c r="C27" s="61"/>
      <c r="D27" s="113"/>
      <c r="E27" s="61"/>
      <c r="F27" s="61"/>
      <c r="G27" s="61"/>
      <c r="H27" s="61"/>
      <c r="I27" s="61"/>
      <c r="J27" s="99" t="s">
        <v>183</v>
      </c>
      <c r="K27" s="46">
        <f>SUM(COUNTA(K16:K25))</f>
        <v>10</v>
      </c>
      <c r="L27" s="74">
        <f>SUM(L16:L25)</f>
        <v>694</v>
      </c>
      <c r="M27" s="61"/>
      <c r="N27" s="70" t="s">
        <v>252</v>
      </c>
      <c r="O27" s="73">
        <f>SUM(Table3[Total HDAP Request])</f>
        <v>45316135</v>
      </c>
      <c r="P27" s="73">
        <f>SUM(Table3[HDAP Reserved])</f>
        <v>45316135</v>
      </c>
      <c r="Q27" s="73">
        <f>SUM(Table3[HDL Request])</f>
        <v>15250000</v>
      </c>
      <c r="R27" s="73">
        <f>SUM(Table3[HDL Reserved])</f>
        <v>15250000</v>
      </c>
      <c r="S27" s="61"/>
    </row>
    <row r="28" spans="1:19" x14ac:dyDescent="0.25">
      <c r="A28" s="61"/>
      <c r="B28" s="61"/>
      <c r="C28" s="61"/>
      <c r="D28" s="113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idden="1" x14ac:dyDescent="0.25">
      <c r="Q29" s="61"/>
      <c r="R29" s="61"/>
    </row>
    <row r="30" spans="1:19" hidden="1" x14ac:dyDescent="0.25"/>
    <row r="31" spans="1:19" hidden="1" x14ac:dyDescent="0.25"/>
    <row r="32" spans="1:19" hidden="1" x14ac:dyDescent="0.25"/>
  </sheetData>
  <mergeCells count="7">
    <mergeCell ref="B9:E9"/>
    <mergeCell ref="B10:E10"/>
    <mergeCell ref="N12:P12"/>
    <mergeCell ref="B13:M13"/>
    <mergeCell ref="B12:M12"/>
    <mergeCell ref="N13:R13"/>
    <mergeCell ref="B8:G8"/>
  </mergeCells>
  <conditionalFormatting sqref="B16:R25">
    <cfRule type="expression" dxfId="21" priority="59">
      <formula>LEFT($N$16:$N$25,6)="Funded"</formula>
    </cfRule>
  </conditionalFormatting>
  <hyperlinks>
    <hyperlink ref="D16" r:id="rId1"/>
    <hyperlink ref="D17" r:id="rId2"/>
    <hyperlink ref="D18" r:id="rId3"/>
    <hyperlink ref="D19" r:id="rId4"/>
    <hyperlink ref="D20" r:id="rId5"/>
    <hyperlink ref="D21" r:id="rId6"/>
    <hyperlink ref="D22" r:id="rId7"/>
    <hyperlink ref="D23" r:id="rId8"/>
    <hyperlink ref="D24" r:id="rId9"/>
    <hyperlink ref="D25" r:id="rId10"/>
  </hyperlinks>
  <pageMargins left="0.7" right="0.7" top="0.75" bottom="0.75" header="0.3" footer="0.3"/>
  <pageSetup paperSize="3" scale="90" fitToWidth="2" orientation="landscape" r:id="rId11"/>
  <headerFooter>
    <oddFooter>&amp;L&amp;"Arial,Regular"November 9, 2022&amp;R&amp;"Arial,Regular"Page &amp;P of &amp;N</oddFooter>
  </headerFooter>
  <ignoredErrors>
    <ignoredError sqref="G16:H18 P17:P18 G19:H25 P19:P25" unlockedFormula="1"/>
  </ignoredError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Data!$A$2:$A$10</xm:f>
          </x14:formula1>
          <xm:sqref>N16:N25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/>
  </sheetViews>
  <sheetFormatPr defaultColWidth="8.88671875" defaultRowHeight="13.8" x14ac:dyDescent="0.25"/>
  <cols>
    <col min="1" max="1" width="38.88671875" style="2" bestFit="1" customWidth="1"/>
    <col min="2" max="2" width="2.88671875" style="2" customWidth="1"/>
    <col min="3" max="3" width="12" style="43" bestFit="1" customWidth="1"/>
    <col min="4" max="4" width="2.88671875" style="2" customWidth="1"/>
    <col min="5" max="5" width="14.33203125" style="2" bestFit="1" customWidth="1"/>
    <col min="6" max="6" width="2.88671875" style="2" customWidth="1"/>
    <col min="7" max="7" width="12.33203125" style="2" bestFit="1" customWidth="1"/>
    <col min="8" max="16384" width="8.88671875" style="2"/>
  </cols>
  <sheetData>
    <row r="1" spans="1:7" s="45" customFormat="1" ht="30" customHeight="1" x14ac:dyDescent="0.25">
      <c r="A1" s="44" t="s">
        <v>211</v>
      </c>
      <c r="C1" s="44" t="s">
        <v>214</v>
      </c>
      <c r="E1" s="44" t="s">
        <v>241</v>
      </c>
      <c r="G1" s="44" t="s">
        <v>242</v>
      </c>
    </row>
    <row r="2" spans="1:7" x14ac:dyDescent="0.25">
      <c r="A2" s="40" t="s">
        <v>205</v>
      </c>
      <c r="C2" s="42" t="s">
        <v>215</v>
      </c>
      <c r="E2" s="42" t="s">
        <v>243</v>
      </c>
      <c r="G2" s="42" t="s">
        <v>12</v>
      </c>
    </row>
    <row r="3" spans="1:7" x14ac:dyDescent="0.25">
      <c r="A3" s="40" t="s">
        <v>213</v>
      </c>
      <c r="C3" s="41" t="s">
        <v>148</v>
      </c>
      <c r="E3" s="42" t="s">
        <v>244</v>
      </c>
      <c r="G3" s="42" t="s">
        <v>20</v>
      </c>
    </row>
    <row r="4" spans="1:7" x14ac:dyDescent="0.25">
      <c r="A4" s="40" t="s">
        <v>206</v>
      </c>
      <c r="C4" s="42" t="s">
        <v>216</v>
      </c>
      <c r="E4" s="42" t="s">
        <v>26</v>
      </c>
      <c r="G4" s="42" t="s">
        <v>27</v>
      </c>
    </row>
    <row r="5" spans="1:7" x14ac:dyDescent="0.25">
      <c r="A5" s="40" t="s">
        <v>207</v>
      </c>
      <c r="C5" s="42" t="s">
        <v>217</v>
      </c>
      <c r="E5" s="42" t="s">
        <v>11</v>
      </c>
      <c r="G5" s="42" t="s">
        <v>248</v>
      </c>
    </row>
    <row r="6" spans="1:7" x14ac:dyDescent="0.25">
      <c r="A6" s="40" t="s">
        <v>251</v>
      </c>
      <c r="C6" s="42" t="s">
        <v>218</v>
      </c>
      <c r="E6" s="42" t="s">
        <v>22</v>
      </c>
      <c r="G6" s="42" t="s">
        <v>42</v>
      </c>
    </row>
    <row r="7" spans="1:7" x14ac:dyDescent="0.25">
      <c r="A7" s="40" t="s">
        <v>208</v>
      </c>
      <c r="C7" s="42" t="s">
        <v>219</v>
      </c>
      <c r="E7" s="42" t="s">
        <v>41</v>
      </c>
      <c r="G7" s="42" t="s">
        <v>200</v>
      </c>
    </row>
    <row r="8" spans="1:7" x14ac:dyDescent="0.25">
      <c r="A8" s="40" t="s">
        <v>212</v>
      </c>
      <c r="C8" s="42" t="s">
        <v>198</v>
      </c>
      <c r="E8" s="42" t="s">
        <v>245</v>
      </c>
      <c r="G8" s="42" t="s">
        <v>249</v>
      </c>
    </row>
    <row r="9" spans="1:7" x14ac:dyDescent="0.25">
      <c r="A9" s="40" t="s">
        <v>209</v>
      </c>
      <c r="C9" s="42" t="s">
        <v>220</v>
      </c>
      <c r="E9" s="42" t="s">
        <v>27</v>
      </c>
      <c r="G9" s="42" t="s">
        <v>250</v>
      </c>
    </row>
    <row r="10" spans="1:7" x14ac:dyDescent="0.25">
      <c r="A10" s="40" t="s">
        <v>210</v>
      </c>
      <c r="C10" s="42" t="s">
        <v>221</v>
      </c>
      <c r="E10" s="42" t="s">
        <v>246</v>
      </c>
    </row>
    <row r="11" spans="1:7" x14ac:dyDescent="0.25">
      <c r="C11" s="42" t="s">
        <v>222</v>
      </c>
      <c r="E11" s="42" t="s">
        <v>23</v>
      </c>
    </row>
    <row r="12" spans="1:7" x14ac:dyDescent="0.25">
      <c r="C12" s="42" t="s">
        <v>223</v>
      </c>
      <c r="E12" s="42" t="s">
        <v>159</v>
      </c>
    </row>
    <row r="13" spans="1:7" x14ac:dyDescent="0.25">
      <c r="C13" s="42" t="s">
        <v>224</v>
      </c>
      <c r="E13" s="42" t="s">
        <v>146</v>
      </c>
    </row>
    <row r="14" spans="1:7" x14ac:dyDescent="0.25">
      <c r="C14" s="41" t="s">
        <v>225</v>
      </c>
      <c r="E14" s="42" t="s">
        <v>15</v>
      </c>
    </row>
    <row r="15" spans="1:7" x14ac:dyDescent="0.25">
      <c r="C15" s="41" t="s">
        <v>226</v>
      </c>
      <c r="E15" s="42" t="s">
        <v>158</v>
      </c>
    </row>
    <row r="16" spans="1:7" x14ac:dyDescent="0.25">
      <c r="C16" s="41" t="s">
        <v>227</v>
      </c>
      <c r="E16" s="42" t="s">
        <v>247</v>
      </c>
    </row>
    <row r="17" spans="3:3" x14ac:dyDescent="0.25">
      <c r="C17" s="41" t="s">
        <v>228</v>
      </c>
    </row>
    <row r="18" spans="3:3" x14ac:dyDescent="0.25">
      <c r="C18" s="41" t="s">
        <v>229</v>
      </c>
    </row>
    <row r="19" spans="3:3" x14ac:dyDescent="0.25">
      <c r="C19" s="41" t="s">
        <v>230</v>
      </c>
    </row>
    <row r="20" spans="3:3" x14ac:dyDescent="0.25">
      <c r="C20" s="41" t="s">
        <v>199</v>
      </c>
    </row>
    <row r="21" spans="3:3" x14ac:dyDescent="0.25">
      <c r="C21" s="41" t="s">
        <v>231</v>
      </c>
    </row>
    <row r="22" spans="3:3" x14ac:dyDescent="0.25">
      <c r="C22" s="41" t="s">
        <v>232</v>
      </c>
    </row>
    <row r="23" spans="3:3" x14ac:dyDescent="0.25">
      <c r="C23" s="41" t="s">
        <v>233</v>
      </c>
    </row>
    <row r="24" spans="3:3" x14ac:dyDescent="0.25">
      <c r="C24" s="41" t="s">
        <v>33</v>
      </c>
    </row>
    <row r="25" spans="3:3" x14ac:dyDescent="0.25">
      <c r="C25" s="41" t="s">
        <v>234</v>
      </c>
    </row>
    <row r="26" spans="3:3" x14ac:dyDescent="0.25">
      <c r="C26" s="41" t="s">
        <v>235</v>
      </c>
    </row>
    <row r="27" spans="3:3" x14ac:dyDescent="0.25">
      <c r="C27" s="41" t="s">
        <v>54</v>
      </c>
    </row>
    <row r="28" spans="3:3" x14ac:dyDescent="0.25">
      <c r="C28" s="41" t="s">
        <v>236</v>
      </c>
    </row>
    <row r="29" spans="3:3" x14ac:dyDescent="0.25">
      <c r="C29" s="41" t="s">
        <v>237</v>
      </c>
    </row>
    <row r="30" spans="3:3" x14ac:dyDescent="0.25">
      <c r="C30" s="41" t="s">
        <v>201</v>
      </c>
    </row>
    <row r="31" spans="3:3" x14ac:dyDescent="0.25">
      <c r="C31" s="41" t="s">
        <v>238</v>
      </c>
    </row>
    <row r="32" spans="3:3" x14ac:dyDescent="0.25">
      <c r="C32" s="41" t="s">
        <v>239</v>
      </c>
    </row>
    <row r="33" spans="3:3" x14ac:dyDescent="0.25">
      <c r="C33" s="41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New Aff</vt:lpstr>
      <vt:lpstr>Preserved Aff</vt:lpstr>
      <vt:lpstr>HOME-ARP</vt:lpstr>
      <vt:lpstr>Data</vt:lpstr>
      <vt:lpstr>'HOME-ARP'!Print_Area</vt:lpstr>
      <vt:lpstr>'New Aff'!Print_Area</vt:lpstr>
      <vt:lpstr>'Preserved Aff'!Print_Area</vt:lpstr>
      <vt:lpstr>'HOME-ARP'!Print_Titles</vt:lpstr>
      <vt:lpstr>'New Aff'!Print_Titles</vt:lpstr>
      <vt:lpstr>'Preserved Aff'!Print_Titles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2022-11-08T20:37:57Z</cp:lastPrinted>
  <dcterms:created xsi:type="dcterms:W3CDTF">2022-02-16T21:38:37Z</dcterms:created>
  <dcterms:modified xsi:type="dcterms:W3CDTF">2022-11-09T16:57:08Z</dcterms:modified>
</cp:coreProperties>
</file>